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sarretg\Documents\gsarret\0-eco responsabilite\stage GES\fichiers definitifs\"/>
    </mc:Choice>
  </mc:AlternateContent>
  <bookViews>
    <workbookView xWindow="0" yWindow="0" windowWidth="11376" windowHeight="9096" firstSheet="4" activeTab="8"/>
  </bookViews>
  <sheets>
    <sheet name="Guide d'utilisation" sheetId="1" r:id="rId1"/>
    <sheet name="Bilan GES ISTerre" sheetId="2" r:id="rId2"/>
    <sheet name="Synthèse consos annuelles" sheetId="3" r:id="rId3"/>
    <sheet name="Facteurs d'émissions" sheetId="4" r:id="rId4"/>
    <sheet name="Infos ISTerre" sheetId="5" r:id="rId5"/>
    <sheet name="Graphiques" sheetId="6" r:id="rId6"/>
    <sheet name="Ratios" sheetId="7" r:id="rId7"/>
    <sheet name="Consommation Gaz" sheetId="8" r:id="rId8"/>
    <sheet name="Consommation Électricité" sheetId="9" r:id="rId9"/>
    <sheet name="Serveurs informatiques" sheetId="10" r:id="rId10"/>
    <sheet name="Synchrotrons" sheetId="11" r:id="rId11"/>
    <sheet name="Déplacements domicile-travail" sheetId="12" r:id="rId12"/>
    <sheet name="Déplacements professionnels" sheetId="13" r:id="rId13"/>
    <sheet name="Incertitudes" sheetId="14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" l="1"/>
  <c r="BH5" i="11" l="1"/>
  <c r="BG5" i="11"/>
  <c r="BF5" i="11"/>
  <c r="BE5" i="11"/>
  <c r="BD5" i="11"/>
  <c r="BI5" i="11"/>
  <c r="BB5" i="11"/>
  <c r="BA5" i="11"/>
  <c r="AZ5" i="11"/>
  <c r="AY5" i="11"/>
  <c r="AX5" i="11"/>
  <c r="BC5" i="11"/>
  <c r="AV5" i="11"/>
  <c r="AU5" i="11"/>
  <c r="AT5" i="11"/>
  <c r="AS5" i="11"/>
  <c r="AR5" i="11"/>
  <c r="AW5" i="11"/>
  <c r="AP5" i="11"/>
  <c r="AO5" i="11"/>
  <c r="AN5" i="11"/>
  <c r="AM5" i="11"/>
  <c r="AL5" i="11"/>
  <c r="AQ5" i="11"/>
  <c r="AJ5" i="11"/>
  <c r="AI5" i="11"/>
  <c r="AH5" i="11"/>
  <c r="AG5" i="11"/>
  <c r="AF5" i="11"/>
  <c r="AK5" i="11"/>
  <c r="AD5" i="11"/>
  <c r="AC5" i="11"/>
  <c r="AB5" i="11"/>
  <c r="AA5" i="11"/>
  <c r="Z5" i="11"/>
  <c r="AE5" i="11"/>
  <c r="X5" i="11"/>
  <c r="W5" i="11"/>
  <c r="V5" i="11"/>
  <c r="U5" i="11"/>
  <c r="T5" i="11"/>
  <c r="Y5" i="11"/>
  <c r="R5" i="11"/>
  <c r="Q5" i="11"/>
  <c r="P5" i="11"/>
  <c r="O5" i="11"/>
  <c r="N5" i="11"/>
  <c r="S5" i="11"/>
  <c r="L5" i="11"/>
  <c r="K5" i="11"/>
  <c r="J5" i="11"/>
  <c r="I5" i="11"/>
  <c r="H5" i="11"/>
  <c r="M5" i="11"/>
  <c r="F5" i="11"/>
  <c r="E5" i="11"/>
  <c r="D5" i="11"/>
  <c r="C5" i="11"/>
  <c r="B5" i="11"/>
  <c r="G5" i="11"/>
  <c r="BI3" i="11"/>
  <c r="BC3" i="11"/>
  <c r="AW3" i="11"/>
  <c r="AQ3" i="11"/>
  <c r="AK3" i="11"/>
  <c r="AE3" i="11"/>
  <c r="Y3" i="11"/>
  <c r="S3" i="11"/>
  <c r="M3" i="11"/>
  <c r="G3" i="11"/>
  <c r="AF22" i="10"/>
  <c r="AD23" i="10"/>
  <c r="AC22" i="10"/>
  <c r="AA23" i="10"/>
  <c r="Z22" i="10"/>
  <c r="X23" i="10"/>
  <c r="W22" i="10"/>
  <c r="U23" i="10"/>
  <c r="T22" i="10"/>
  <c r="R23" i="10"/>
  <c r="Q22" i="10"/>
  <c r="O23" i="10"/>
  <c r="N22" i="10"/>
  <c r="L23" i="10"/>
  <c r="K22" i="10"/>
  <c r="I23" i="10"/>
  <c r="H22" i="10"/>
  <c r="F23" i="10"/>
  <c r="E22" i="10"/>
  <c r="C23" i="10"/>
  <c r="AF16" i="10"/>
  <c r="AC16" i="10"/>
  <c r="Z16" i="10"/>
  <c r="W16" i="10"/>
  <c r="T16" i="10"/>
  <c r="Q16" i="10"/>
  <c r="N16" i="10"/>
  <c r="K16" i="10"/>
  <c r="H16" i="10"/>
  <c r="E16" i="10"/>
  <c r="AF15" i="10"/>
  <c r="AC15" i="10"/>
  <c r="Z15" i="10"/>
  <c r="W15" i="10"/>
  <c r="T15" i="10"/>
  <c r="Q15" i="10"/>
  <c r="N15" i="10"/>
  <c r="K15" i="10"/>
  <c r="H15" i="10"/>
  <c r="E15" i="10"/>
  <c r="AF14" i="10"/>
  <c r="AC14" i="10"/>
  <c r="Z14" i="10"/>
  <c r="W14" i="10"/>
  <c r="T14" i="10"/>
  <c r="Q14" i="10"/>
  <c r="N14" i="10"/>
  <c r="K14" i="10"/>
  <c r="H14" i="10"/>
  <c r="E14" i="10"/>
  <c r="AF13" i="10"/>
  <c r="AD17" i="10"/>
  <c r="AC13" i="10"/>
  <c r="AA17" i="10"/>
  <c r="Z13" i="10"/>
  <c r="X17" i="10"/>
  <c r="W13" i="10"/>
  <c r="U17" i="10"/>
  <c r="T13" i="10"/>
  <c r="R17" i="10"/>
  <c r="Q13" i="10"/>
  <c r="O17" i="10"/>
  <c r="N13" i="10"/>
  <c r="L17" i="10"/>
  <c r="K13" i="10"/>
  <c r="I17" i="10"/>
  <c r="H13" i="10"/>
  <c r="F17" i="10"/>
  <c r="E13" i="10"/>
  <c r="C17" i="10"/>
  <c r="AD9" i="10"/>
  <c r="AD19" i="10"/>
  <c r="AA9" i="10"/>
  <c r="AA19" i="10"/>
  <c r="X9" i="10"/>
  <c r="X19" i="10"/>
  <c r="U9" i="10"/>
  <c r="U19" i="10"/>
  <c r="R9" i="10"/>
  <c r="R19" i="10"/>
  <c r="O9" i="10"/>
  <c r="O19" i="10"/>
  <c r="L8" i="10"/>
  <c r="I8" i="10"/>
  <c r="F8" i="10"/>
  <c r="C8" i="10"/>
  <c r="L7" i="10"/>
  <c r="L9" i="10"/>
  <c r="L19" i="10"/>
  <c r="I7" i="10"/>
  <c r="I9" i="10"/>
  <c r="I19" i="10"/>
  <c r="F7" i="10"/>
  <c r="F9" i="10"/>
  <c r="F19" i="10"/>
  <c r="C7" i="10"/>
  <c r="C9" i="10"/>
  <c r="C19" i="10"/>
  <c r="K36" i="9"/>
  <c r="J36" i="9"/>
  <c r="I36" i="9"/>
  <c r="H36" i="9"/>
  <c r="G36" i="9"/>
  <c r="F36" i="9"/>
  <c r="E36" i="9"/>
  <c r="D36" i="9"/>
  <c r="C36" i="9"/>
  <c r="B36" i="9"/>
  <c r="K31" i="9"/>
  <c r="J31" i="9"/>
  <c r="I31" i="9"/>
  <c r="H31" i="9"/>
  <c r="G31" i="9"/>
  <c r="F31" i="9"/>
  <c r="E31" i="9"/>
  <c r="D31" i="9"/>
  <c r="C31" i="9"/>
  <c r="B31" i="9"/>
  <c r="K30" i="9"/>
  <c r="J30" i="9"/>
  <c r="I30" i="9"/>
  <c r="H30" i="9"/>
  <c r="G30" i="9"/>
  <c r="F30" i="9"/>
  <c r="E30" i="9"/>
  <c r="D30" i="9"/>
  <c r="C30" i="9"/>
  <c r="B30" i="9"/>
  <c r="K24" i="9"/>
  <c r="J24" i="9"/>
  <c r="I24" i="9"/>
  <c r="H24" i="9"/>
  <c r="G24" i="9"/>
  <c r="F24" i="9"/>
  <c r="E24" i="9"/>
  <c r="D24" i="9"/>
  <c r="C24" i="9"/>
  <c r="B24" i="9"/>
  <c r="K7" i="9"/>
  <c r="J7" i="9"/>
  <c r="I7" i="9"/>
  <c r="H7" i="9"/>
  <c r="G7" i="9"/>
  <c r="F7" i="9"/>
  <c r="E7" i="9"/>
  <c r="D7" i="9"/>
  <c r="C7" i="9"/>
  <c r="B7" i="9"/>
  <c r="K6" i="9"/>
  <c r="J6" i="9"/>
  <c r="I6" i="9"/>
  <c r="H6" i="9"/>
  <c r="G6" i="9"/>
  <c r="F6" i="9"/>
  <c r="E6" i="9"/>
  <c r="D6" i="9"/>
  <c r="C6" i="9"/>
  <c r="B6" i="9"/>
  <c r="K5" i="9"/>
  <c r="J5" i="9"/>
  <c r="I5" i="9"/>
  <c r="H5" i="9"/>
  <c r="G5" i="9"/>
  <c r="F5" i="9"/>
  <c r="E5" i="9"/>
  <c r="D5" i="9"/>
  <c r="C5" i="9"/>
  <c r="B5" i="9"/>
  <c r="K4" i="9"/>
  <c r="J4" i="9"/>
  <c r="I4" i="9"/>
  <c r="H4" i="9"/>
  <c r="G4" i="9"/>
  <c r="F4" i="9"/>
  <c r="E4" i="9"/>
  <c r="D4" i="9"/>
  <c r="C4" i="9"/>
  <c r="B4" i="9"/>
  <c r="K3" i="9"/>
  <c r="K8" i="9"/>
  <c r="J3" i="9"/>
  <c r="J8" i="9"/>
  <c r="I3" i="9"/>
  <c r="I8" i="9"/>
  <c r="H3" i="9"/>
  <c r="H8" i="9"/>
  <c r="G3" i="9"/>
  <c r="G8" i="9"/>
  <c r="F3" i="9"/>
  <c r="F8" i="9"/>
  <c r="E3" i="9"/>
  <c r="E8" i="9"/>
  <c r="D3" i="9"/>
  <c r="D8" i="9"/>
  <c r="C3" i="9"/>
  <c r="C8" i="9"/>
  <c r="B3" i="9"/>
  <c r="B8" i="9"/>
  <c r="K23" i="8"/>
  <c r="J23" i="8"/>
  <c r="I23" i="8"/>
  <c r="H23" i="8"/>
  <c r="G23" i="8"/>
  <c r="F23" i="8"/>
  <c r="E23" i="8"/>
  <c r="D23" i="8"/>
  <c r="C23" i="8"/>
  <c r="B23" i="8"/>
  <c r="K22" i="8"/>
  <c r="J22" i="8"/>
  <c r="I22" i="8"/>
  <c r="H22" i="8"/>
  <c r="G22" i="8"/>
  <c r="F22" i="8"/>
  <c r="E22" i="8"/>
  <c r="D22" i="8"/>
  <c r="C22" i="8"/>
  <c r="B22" i="8"/>
  <c r="K15" i="8"/>
  <c r="J15" i="8"/>
  <c r="I15" i="8"/>
  <c r="H15" i="8"/>
  <c r="G15" i="8"/>
  <c r="F15" i="8"/>
  <c r="E15" i="8"/>
  <c r="D15" i="8"/>
  <c r="C15" i="8"/>
  <c r="B15" i="8"/>
  <c r="L28" i="7"/>
  <c r="K28" i="7"/>
  <c r="J28" i="7"/>
  <c r="I28" i="7"/>
  <c r="H28" i="7"/>
  <c r="G28" i="7"/>
  <c r="F28" i="7"/>
  <c r="E28" i="7"/>
  <c r="D28" i="7"/>
  <c r="C28" i="7"/>
  <c r="L27" i="7"/>
  <c r="K27" i="7"/>
  <c r="J27" i="7"/>
  <c r="I27" i="7"/>
  <c r="H27" i="7"/>
  <c r="G27" i="7"/>
  <c r="F27" i="7"/>
  <c r="E27" i="7"/>
  <c r="D27" i="7"/>
  <c r="C27" i="7"/>
  <c r="L26" i="7"/>
  <c r="K26" i="7"/>
  <c r="J26" i="7"/>
  <c r="I26" i="7"/>
  <c r="H26" i="7"/>
  <c r="G26" i="7"/>
  <c r="F26" i="7"/>
  <c r="E26" i="7"/>
  <c r="D26" i="7"/>
  <c r="C26" i="7"/>
  <c r="L25" i="7"/>
  <c r="K25" i="7"/>
  <c r="J25" i="7"/>
  <c r="I25" i="7"/>
  <c r="H25" i="7"/>
  <c r="G25" i="7"/>
  <c r="F25" i="7"/>
  <c r="E25" i="7"/>
  <c r="D25" i="7"/>
  <c r="C25" i="7"/>
  <c r="L24" i="7"/>
  <c r="K24" i="7"/>
  <c r="J24" i="7"/>
  <c r="I24" i="7"/>
  <c r="H24" i="7"/>
  <c r="G24" i="7"/>
  <c r="F24" i="7"/>
  <c r="E24" i="7"/>
  <c r="D24" i="7"/>
  <c r="C24" i="7"/>
  <c r="L21" i="7"/>
  <c r="K21" i="7"/>
  <c r="J21" i="7"/>
  <c r="I21" i="7"/>
  <c r="H21" i="7"/>
  <c r="G21" i="7"/>
  <c r="F21" i="7"/>
  <c r="E21" i="7"/>
  <c r="D21" i="7"/>
  <c r="C21" i="7"/>
  <c r="L20" i="7"/>
  <c r="K20" i="7"/>
  <c r="J20" i="7"/>
  <c r="I20" i="7"/>
  <c r="H20" i="7"/>
  <c r="G20" i="7"/>
  <c r="F20" i="7"/>
  <c r="E20" i="7"/>
  <c r="D20" i="7"/>
  <c r="C20" i="7"/>
  <c r="L19" i="7"/>
  <c r="K19" i="7"/>
  <c r="J19" i="7"/>
  <c r="I19" i="7"/>
  <c r="H19" i="7"/>
  <c r="G19" i="7"/>
  <c r="F19" i="7"/>
  <c r="E19" i="7"/>
  <c r="D19" i="7"/>
  <c r="C19" i="7"/>
  <c r="L34" i="5"/>
  <c r="K34" i="5"/>
  <c r="J34" i="5"/>
  <c r="I34" i="5"/>
  <c r="H34" i="5"/>
  <c r="G34" i="5"/>
  <c r="F34" i="5"/>
  <c r="E34" i="5"/>
  <c r="D34" i="5"/>
  <c r="C34" i="5"/>
  <c r="L32" i="5"/>
  <c r="K32" i="5"/>
  <c r="J32" i="5"/>
  <c r="I32" i="5"/>
  <c r="H32" i="5"/>
  <c r="G32" i="5"/>
  <c r="F32" i="5"/>
  <c r="E32" i="5"/>
  <c r="D32" i="5"/>
  <c r="C32" i="5"/>
  <c r="K15" i="5"/>
  <c r="J15" i="5"/>
  <c r="I15" i="5"/>
  <c r="H15" i="5"/>
  <c r="G15" i="5"/>
  <c r="F15" i="5"/>
  <c r="E15" i="5"/>
  <c r="D15" i="5"/>
  <c r="C15" i="5"/>
  <c r="B15" i="5"/>
  <c r="CO34" i="4"/>
  <c r="CQ34" i="4"/>
  <c r="CF34" i="4"/>
  <c r="CH34" i="4"/>
  <c r="BW34" i="4"/>
  <c r="BY34" i="4"/>
  <c r="BN34" i="4"/>
  <c r="BP34" i="4"/>
  <c r="BE34" i="4"/>
  <c r="BG34" i="4"/>
  <c r="AV34" i="4"/>
  <c r="AX34" i="4"/>
  <c r="AM34" i="4"/>
  <c r="AO34" i="4"/>
  <c r="AD34" i="4"/>
  <c r="AF34" i="4"/>
  <c r="U34" i="4"/>
  <c r="W34" i="4"/>
  <c r="L34" i="4"/>
  <c r="N34" i="4"/>
  <c r="CO33" i="4"/>
  <c r="CQ33" i="4"/>
  <c r="CF33" i="4"/>
  <c r="CH33" i="4"/>
  <c r="BW33" i="4"/>
  <c r="BY33" i="4"/>
  <c r="BN33" i="4"/>
  <c r="BP33" i="4"/>
  <c r="BE33" i="4"/>
  <c r="BG33" i="4"/>
  <c r="AV33" i="4"/>
  <c r="AX33" i="4"/>
  <c r="AM33" i="4"/>
  <c r="AO33" i="4"/>
  <c r="AD33" i="4"/>
  <c r="AF33" i="4"/>
  <c r="U33" i="4"/>
  <c r="W33" i="4"/>
  <c r="L33" i="4"/>
  <c r="N33" i="4"/>
  <c r="CO32" i="4"/>
  <c r="CQ32" i="4"/>
  <c r="CF32" i="4"/>
  <c r="CH32" i="4"/>
  <c r="BW32" i="4"/>
  <c r="BY32" i="4"/>
  <c r="BN32" i="4"/>
  <c r="BP32" i="4"/>
  <c r="BE32" i="4"/>
  <c r="BG32" i="4"/>
  <c r="AV32" i="4"/>
  <c r="AX32" i="4"/>
  <c r="AM32" i="4"/>
  <c r="AO32" i="4"/>
  <c r="AD32" i="4"/>
  <c r="AF32" i="4"/>
  <c r="U32" i="4"/>
  <c r="W32" i="4"/>
  <c r="L32" i="4"/>
  <c r="N32" i="4"/>
  <c r="CO31" i="4"/>
  <c r="CQ31" i="4"/>
  <c r="CF31" i="4"/>
  <c r="CH31" i="4"/>
  <c r="BW31" i="4"/>
  <c r="BY31" i="4"/>
  <c r="BN31" i="4"/>
  <c r="BP31" i="4"/>
  <c r="BE31" i="4"/>
  <c r="BG31" i="4"/>
  <c r="AV31" i="4"/>
  <c r="AX31" i="4"/>
  <c r="AM31" i="4"/>
  <c r="AO31" i="4"/>
  <c r="AD31" i="4"/>
  <c r="AF31" i="4"/>
  <c r="U31" i="4"/>
  <c r="W31" i="4"/>
  <c r="L31" i="4"/>
  <c r="N31" i="4"/>
  <c r="CO30" i="4"/>
  <c r="CQ30" i="4"/>
  <c r="CF30" i="4"/>
  <c r="CH30" i="4"/>
  <c r="BW30" i="4"/>
  <c r="BY30" i="4"/>
  <c r="BN30" i="4"/>
  <c r="BP30" i="4"/>
  <c r="BE30" i="4"/>
  <c r="BG30" i="4"/>
  <c r="AV30" i="4"/>
  <c r="AX30" i="4"/>
  <c r="AM30" i="4"/>
  <c r="AO30" i="4"/>
  <c r="AD30" i="4"/>
  <c r="AF30" i="4"/>
  <c r="U30" i="4"/>
  <c r="W30" i="4"/>
  <c r="L30" i="4"/>
  <c r="N30" i="4"/>
  <c r="CO29" i="4"/>
  <c r="CQ29" i="4"/>
  <c r="CF29" i="4"/>
  <c r="CH29" i="4"/>
  <c r="BW29" i="4"/>
  <c r="BY29" i="4"/>
  <c r="BN29" i="4"/>
  <c r="BP29" i="4"/>
  <c r="BE29" i="4"/>
  <c r="BG29" i="4"/>
  <c r="AV29" i="4"/>
  <c r="AX29" i="4"/>
  <c r="AM29" i="4"/>
  <c r="AO29" i="4"/>
  <c r="AD29" i="4"/>
  <c r="AF29" i="4"/>
  <c r="U29" i="4"/>
  <c r="W29" i="4"/>
  <c r="L29" i="4"/>
  <c r="N29" i="4"/>
  <c r="CO28" i="4"/>
  <c r="CQ28" i="4"/>
  <c r="CF28" i="4"/>
  <c r="CH28" i="4"/>
  <c r="BW28" i="4"/>
  <c r="BY28" i="4"/>
  <c r="BN28" i="4"/>
  <c r="BP28" i="4"/>
  <c r="BE28" i="4"/>
  <c r="BG28" i="4"/>
  <c r="AV28" i="4"/>
  <c r="AX28" i="4"/>
  <c r="AM28" i="4"/>
  <c r="AO28" i="4"/>
  <c r="AD28" i="4"/>
  <c r="AF28" i="4"/>
  <c r="U28" i="4"/>
  <c r="W28" i="4"/>
  <c r="L28" i="4"/>
  <c r="N28" i="4"/>
  <c r="CO27" i="4"/>
  <c r="CQ27" i="4"/>
  <c r="CF27" i="4"/>
  <c r="CH27" i="4"/>
  <c r="BW27" i="4"/>
  <c r="BY27" i="4"/>
  <c r="BN27" i="4"/>
  <c r="BP27" i="4"/>
  <c r="BE27" i="4"/>
  <c r="BG27" i="4"/>
  <c r="AV27" i="4"/>
  <c r="AX27" i="4"/>
  <c r="AM27" i="4"/>
  <c r="AO27" i="4"/>
  <c r="AD27" i="4"/>
  <c r="AF27" i="4"/>
  <c r="U27" i="4"/>
  <c r="W27" i="4"/>
  <c r="L27" i="4"/>
  <c r="N27" i="4"/>
  <c r="CO26" i="4"/>
  <c r="CQ26" i="4"/>
  <c r="CF26" i="4"/>
  <c r="CH26" i="4"/>
  <c r="BW26" i="4"/>
  <c r="BY26" i="4"/>
  <c r="BN26" i="4"/>
  <c r="BP26" i="4"/>
  <c r="BE26" i="4"/>
  <c r="BG26" i="4"/>
  <c r="AV26" i="4"/>
  <c r="AX26" i="4"/>
  <c r="AM26" i="4"/>
  <c r="AO26" i="4"/>
  <c r="AD26" i="4"/>
  <c r="AF26" i="4"/>
  <c r="U26" i="4"/>
  <c r="W26" i="4"/>
  <c r="L26" i="4"/>
  <c r="N26" i="4"/>
  <c r="CO25" i="4"/>
  <c r="CQ25" i="4"/>
  <c r="CF25" i="4"/>
  <c r="CH25" i="4"/>
  <c r="BW25" i="4"/>
  <c r="BY25" i="4"/>
  <c r="BN25" i="4"/>
  <c r="BP25" i="4"/>
  <c r="BE25" i="4"/>
  <c r="BG25" i="4"/>
  <c r="AV25" i="4"/>
  <c r="AX25" i="4"/>
  <c r="AM25" i="4"/>
  <c r="AO25" i="4"/>
  <c r="AD25" i="4"/>
  <c r="AF25" i="4"/>
  <c r="U25" i="4"/>
  <c r="W25" i="4"/>
  <c r="L25" i="4"/>
  <c r="N25" i="4"/>
  <c r="CO24" i="4"/>
  <c r="CQ24" i="4"/>
  <c r="CF24" i="4"/>
  <c r="CH24" i="4"/>
  <c r="BW24" i="4"/>
  <c r="BY24" i="4"/>
  <c r="BN24" i="4"/>
  <c r="BP24" i="4"/>
  <c r="BE24" i="4"/>
  <c r="BG24" i="4"/>
  <c r="AV24" i="4"/>
  <c r="AX24" i="4"/>
  <c r="AM24" i="4"/>
  <c r="AO24" i="4"/>
  <c r="AD24" i="4"/>
  <c r="AF24" i="4"/>
  <c r="U24" i="4"/>
  <c r="W24" i="4"/>
  <c r="L24" i="4"/>
  <c r="N24" i="4"/>
  <c r="CO23" i="4"/>
  <c r="CQ23" i="4"/>
  <c r="CF23" i="4"/>
  <c r="CH23" i="4"/>
  <c r="BW23" i="4"/>
  <c r="BY23" i="4"/>
  <c r="BN23" i="4"/>
  <c r="BP23" i="4"/>
  <c r="BE23" i="4"/>
  <c r="BG23" i="4"/>
  <c r="AV23" i="4"/>
  <c r="AX23" i="4"/>
  <c r="AM23" i="4"/>
  <c r="AO23" i="4"/>
  <c r="AD23" i="4"/>
  <c r="AF23" i="4"/>
  <c r="U23" i="4"/>
  <c r="W23" i="4"/>
  <c r="L23" i="4"/>
  <c r="N23" i="4"/>
  <c r="CO22" i="4"/>
  <c r="CQ22" i="4"/>
  <c r="CF22" i="4"/>
  <c r="CH22" i="4"/>
  <c r="BW22" i="4"/>
  <c r="BY22" i="4"/>
  <c r="BN22" i="4"/>
  <c r="BP22" i="4"/>
  <c r="BE22" i="4"/>
  <c r="BG22" i="4"/>
  <c r="AV22" i="4"/>
  <c r="AX22" i="4"/>
  <c r="AM22" i="4"/>
  <c r="AO22" i="4"/>
  <c r="AD22" i="4"/>
  <c r="AF22" i="4"/>
  <c r="U22" i="4"/>
  <c r="W22" i="4"/>
  <c r="L22" i="4"/>
  <c r="N22" i="4"/>
  <c r="CO21" i="4"/>
  <c r="CQ21" i="4"/>
  <c r="CF21" i="4"/>
  <c r="CH21" i="4"/>
  <c r="BW21" i="4"/>
  <c r="BY21" i="4"/>
  <c r="BN21" i="4"/>
  <c r="BP21" i="4"/>
  <c r="BE21" i="4"/>
  <c r="BG21" i="4"/>
  <c r="AV21" i="4"/>
  <c r="AX21" i="4"/>
  <c r="AM21" i="4"/>
  <c r="AO21" i="4"/>
  <c r="AD21" i="4"/>
  <c r="AF21" i="4"/>
  <c r="U21" i="4"/>
  <c r="W21" i="4"/>
  <c r="L21" i="4"/>
  <c r="N21" i="4"/>
  <c r="CO20" i="4"/>
  <c r="CQ20" i="4"/>
  <c r="CF20" i="4"/>
  <c r="CH20" i="4"/>
  <c r="BW20" i="4"/>
  <c r="BY20" i="4"/>
  <c r="BN20" i="4"/>
  <c r="BP20" i="4"/>
  <c r="BE20" i="4"/>
  <c r="BG20" i="4"/>
  <c r="AV20" i="4"/>
  <c r="AX20" i="4"/>
  <c r="AM20" i="4"/>
  <c r="AO20" i="4"/>
  <c r="AD20" i="4"/>
  <c r="AF20" i="4"/>
  <c r="U20" i="4"/>
  <c r="W20" i="4"/>
  <c r="L20" i="4"/>
  <c r="N20" i="4"/>
  <c r="CO19" i="4"/>
  <c r="CQ19" i="4"/>
  <c r="CF19" i="4"/>
  <c r="CH19" i="4"/>
  <c r="BW19" i="4"/>
  <c r="BY19" i="4"/>
  <c r="BN19" i="4"/>
  <c r="BP19" i="4"/>
  <c r="BE19" i="4"/>
  <c r="BG19" i="4"/>
  <c r="AV19" i="4"/>
  <c r="AX19" i="4"/>
  <c r="AM19" i="4"/>
  <c r="AO19" i="4"/>
  <c r="AD19" i="4"/>
  <c r="AF19" i="4"/>
  <c r="U19" i="4"/>
  <c r="W19" i="4"/>
  <c r="L19" i="4"/>
  <c r="N19" i="4"/>
  <c r="CO18" i="4"/>
  <c r="CQ18" i="4"/>
  <c r="CF18" i="4"/>
  <c r="CH18" i="4"/>
  <c r="BW18" i="4"/>
  <c r="BY18" i="4"/>
  <c r="BN18" i="4"/>
  <c r="BP18" i="4"/>
  <c r="BE18" i="4"/>
  <c r="BG18" i="4"/>
  <c r="AV18" i="4"/>
  <c r="AX18" i="4"/>
  <c r="AM18" i="4"/>
  <c r="AO18" i="4"/>
  <c r="AD18" i="4"/>
  <c r="AF18" i="4"/>
  <c r="U18" i="4"/>
  <c r="W18" i="4"/>
  <c r="L18" i="4"/>
  <c r="N18" i="4"/>
  <c r="CO17" i="4"/>
  <c r="CQ17" i="4"/>
  <c r="CF17" i="4"/>
  <c r="CH17" i="4"/>
  <c r="BW17" i="4"/>
  <c r="BY17" i="4"/>
  <c r="BN17" i="4"/>
  <c r="BP17" i="4"/>
  <c r="BE17" i="4"/>
  <c r="BG17" i="4"/>
  <c r="AV17" i="4"/>
  <c r="AX17" i="4"/>
  <c r="AM17" i="4"/>
  <c r="AO17" i="4"/>
  <c r="AD17" i="4"/>
  <c r="AF17" i="4"/>
  <c r="U17" i="4"/>
  <c r="W17" i="4"/>
  <c r="L17" i="4"/>
  <c r="N17" i="4"/>
  <c r="CO16" i="4"/>
  <c r="CQ16" i="4"/>
  <c r="CF16" i="4"/>
  <c r="CH16" i="4"/>
  <c r="BW16" i="4"/>
  <c r="BY16" i="4"/>
  <c r="BN16" i="4"/>
  <c r="BP16" i="4"/>
  <c r="BE16" i="4"/>
  <c r="BG16" i="4"/>
  <c r="AV16" i="4"/>
  <c r="AX16" i="4"/>
  <c r="AM16" i="4"/>
  <c r="AO16" i="4"/>
  <c r="AD16" i="4"/>
  <c r="AF16" i="4"/>
  <c r="U16" i="4"/>
  <c r="W16" i="4"/>
  <c r="L16" i="4"/>
  <c r="N16" i="4"/>
  <c r="CO15" i="4"/>
  <c r="CQ15" i="4"/>
  <c r="CF15" i="4"/>
  <c r="CH15" i="4"/>
  <c r="BW15" i="4"/>
  <c r="BY15" i="4"/>
  <c r="BN15" i="4"/>
  <c r="BP15" i="4"/>
  <c r="BE15" i="4"/>
  <c r="BG15" i="4"/>
  <c r="AV15" i="4"/>
  <c r="AX15" i="4"/>
  <c r="AM15" i="4"/>
  <c r="AO15" i="4"/>
  <c r="AD15" i="4"/>
  <c r="AF15" i="4"/>
  <c r="U15" i="4"/>
  <c r="W15" i="4"/>
  <c r="L15" i="4"/>
  <c r="N15" i="4"/>
  <c r="CO14" i="4"/>
  <c r="CQ14" i="4"/>
  <c r="CF14" i="4"/>
  <c r="CH14" i="4"/>
  <c r="BW14" i="4"/>
  <c r="BY14" i="4"/>
  <c r="BN14" i="4"/>
  <c r="BP14" i="4"/>
  <c r="BE14" i="4"/>
  <c r="BG14" i="4"/>
  <c r="AV14" i="4"/>
  <c r="AX14" i="4"/>
  <c r="AM14" i="4"/>
  <c r="AO14" i="4"/>
  <c r="AD14" i="4"/>
  <c r="AF14" i="4"/>
  <c r="U14" i="4"/>
  <c r="W14" i="4"/>
  <c r="L14" i="4"/>
  <c r="N14" i="4"/>
  <c r="CO13" i="4"/>
  <c r="CQ13" i="4"/>
  <c r="CF13" i="4"/>
  <c r="CH13" i="4"/>
  <c r="BW13" i="4"/>
  <c r="BY13" i="4"/>
  <c r="BN13" i="4"/>
  <c r="BP13" i="4"/>
  <c r="BE13" i="4"/>
  <c r="BG13" i="4"/>
  <c r="AV13" i="4"/>
  <c r="AX13" i="4"/>
  <c r="AM13" i="4"/>
  <c r="AO13" i="4"/>
  <c r="AD13" i="4"/>
  <c r="AF13" i="4"/>
  <c r="U13" i="4"/>
  <c r="W13" i="4"/>
  <c r="L13" i="4"/>
  <c r="N13" i="4"/>
  <c r="CO12" i="4"/>
  <c r="CQ12" i="4"/>
  <c r="CF12" i="4"/>
  <c r="CH12" i="4"/>
  <c r="BW12" i="4"/>
  <c r="BY12" i="4"/>
  <c r="BN12" i="4"/>
  <c r="BP12" i="4"/>
  <c r="BE12" i="4"/>
  <c r="BG12" i="4"/>
  <c r="AV12" i="4"/>
  <c r="AX12" i="4"/>
  <c r="AM12" i="4"/>
  <c r="AO12" i="4"/>
  <c r="AC12" i="4"/>
  <c r="AD12" i="4"/>
  <c r="AF12" i="4"/>
  <c r="T12" i="4"/>
  <c r="U12" i="4"/>
  <c r="W12" i="4"/>
  <c r="K12" i="4"/>
  <c r="L12" i="4"/>
  <c r="N12" i="4"/>
  <c r="CO11" i="4"/>
  <c r="CQ11" i="4"/>
  <c r="CF11" i="4"/>
  <c r="CH11" i="4"/>
  <c r="BW11" i="4"/>
  <c r="BY11" i="4"/>
  <c r="BN11" i="4"/>
  <c r="BP11" i="4"/>
  <c r="BE11" i="4"/>
  <c r="BG11" i="4"/>
  <c r="AV11" i="4"/>
  <c r="AX11" i="4"/>
  <c r="AM11" i="4"/>
  <c r="AO11" i="4"/>
  <c r="AD11" i="4"/>
  <c r="AF11" i="4"/>
  <c r="U11" i="4"/>
  <c r="W11" i="4"/>
  <c r="L11" i="4"/>
  <c r="N11" i="4"/>
  <c r="CO10" i="4"/>
  <c r="CQ10" i="4"/>
  <c r="CF10" i="4"/>
  <c r="CH10" i="4"/>
  <c r="BW10" i="4"/>
  <c r="BY10" i="4"/>
  <c r="BN10" i="4"/>
  <c r="BP10" i="4"/>
  <c r="BE10" i="4"/>
  <c r="BG10" i="4"/>
  <c r="AV10" i="4"/>
  <c r="AX10" i="4"/>
  <c r="AM10" i="4"/>
  <c r="AO10" i="4"/>
  <c r="AD10" i="4"/>
  <c r="AF10" i="4"/>
  <c r="U10" i="4"/>
  <c r="W10" i="4"/>
  <c r="L10" i="4"/>
  <c r="N10" i="4"/>
  <c r="CO9" i="4"/>
  <c r="CQ9" i="4"/>
  <c r="CF9" i="4"/>
  <c r="CH9" i="4"/>
  <c r="BW9" i="4"/>
  <c r="BY9" i="4"/>
  <c r="BN9" i="4"/>
  <c r="BP9" i="4"/>
  <c r="BE9" i="4"/>
  <c r="BG9" i="4"/>
  <c r="AV9" i="4"/>
  <c r="AX9" i="4"/>
  <c r="AM9" i="4"/>
  <c r="AO9" i="4"/>
  <c r="AD9" i="4"/>
  <c r="AF9" i="4"/>
  <c r="U9" i="4"/>
  <c r="W9" i="4"/>
  <c r="L9" i="4"/>
  <c r="N9" i="4"/>
  <c r="CO8" i="4"/>
  <c r="CQ8" i="4"/>
  <c r="CF8" i="4"/>
  <c r="CH8" i="4"/>
  <c r="BW8" i="4"/>
  <c r="BY8" i="4"/>
  <c r="BN8" i="4"/>
  <c r="BP8" i="4"/>
  <c r="BE8" i="4"/>
  <c r="BG8" i="4"/>
  <c r="AV8" i="4"/>
  <c r="AX8" i="4"/>
  <c r="AM8" i="4"/>
  <c r="AO8" i="4"/>
  <c r="AD8" i="4"/>
  <c r="AF8" i="4"/>
  <c r="U8" i="4"/>
  <c r="W8" i="4"/>
  <c r="L8" i="4"/>
  <c r="N8" i="4"/>
  <c r="CO7" i="4"/>
  <c r="CQ7" i="4"/>
  <c r="CF7" i="4"/>
  <c r="CH7" i="4"/>
  <c r="BW7" i="4"/>
  <c r="BY7" i="4"/>
  <c r="BN7" i="4"/>
  <c r="BP7" i="4"/>
  <c r="BE7" i="4"/>
  <c r="BG7" i="4"/>
  <c r="AV7" i="4"/>
  <c r="AX7" i="4"/>
  <c r="AL7" i="4"/>
  <c r="AM7" i="4"/>
  <c r="AO7" i="4"/>
  <c r="AJ7" i="4"/>
  <c r="AC7" i="4"/>
  <c r="AD7" i="4"/>
  <c r="AF7" i="4"/>
  <c r="AA7" i="4"/>
  <c r="T7" i="4"/>
  <c r="U7" i="4"/>
  <c r="W7" i="4"/>
  <c r="R7" i="4"/>
  <c r="K7" i="4"/>
  <c r="L7" i="4"/>
  <c r="N7" i="4"/>
  <c r="I7" i="4"/>
  <c r="CO6" i="4"/>
  <c r="CQ6" i="4"/>
  <c r="CF6" i="4"/>
  <c r="CH6" i="4"/>
  <c r="BW6" i="4"/>
  <c r="BY6" i="4"/>
  <c r="BN6" i="4"/>
  <c r="BP6" i="4"/>
  <c r="BE6" i="4"/>
  <c r="BG6" i="4"/>
  <c r="AV6" i="4"/>
  <c r="AX6" i="4"/>
  <c r="AM6" i="4"/>
  <c r="AO6" i="4"/>
  <c r="AD6" i="4"/>
  <c r="AF6" i="4"/>
  <c r="U6" i="4"/>
  <c r="W6" i="4"/>
  <c r="L6" i="4"/>
  <c r="N6" i="4"/>
  <c r="CO5" i="4"/>
  <c r="CQ5" i="4"/>
  <c r="CF5" i="4"/>
  <c r="CH5" i="4"/>
  <c r="BW5" i="4"/>
  <c r="BY5" i="4"/>
  <c r="BN5" i="4"/>
  <c r="BP5" i="4"/>
  <c r="BE5" i="4"/>
  <c r="BG5" i="4"/>
  <c r="AV5" i="4"/>
  <c r="AX5" i="4"/>
  <c r="AM5" i="4"/>
  <c r="AO5" i="4"/>
  <c r="AD5" i="4"/>
  <c r="AF5" i="4"/>
  <c r="U5" i="4"/>
  <c r="W5" i="4"/>
  <c r="L5" i="4"/>
  <c r="N5" i="4"/>
  <c r="O33" i="3"/>
  <c r="N33" i="3"/>
  <c r="M33" i="3"/>
  <c r="L33" i="3"/>
  <c r="K33" i="3"/>
  <c r="J33" i="3"/>
  <c r="I33" i="3"/>
  <c r="H33" i="3"/>
  <c r="G33" i="3"/>
  <c r="F33" i="3"/>
  <c r="O32" i="3"/>
  <c r="N32" i="3"/>
  <c r="M32" i="3"/>
  <c r="L32" i="3"/>
  <c r="K32" i="3"/>
  <c r="J32" i="3"/>
  <c r="I32" i="3"/>
  <c r="H32" i="3"/>
  <c r="G32" i="3"/>
  <c r="F32" i="3"/>
  <c r="O31" i="3"/>
  <c r="N31" i="3"/>
  <c r="M31" i="3"/>
  <c r="L31" i="3"/>
  <c r="K31" i="3"/>
  <c r="J31" i="3"/>
  <c r="I31" i="3"/>
  <c r="H31" i="3"/>
  <c r="G31" i="3"/>
  <c r="F31" i="3"/>
  <c r="O30" i="3"/>
  <c r="N30" i="3"/>
  <c r="M30" i="3"/>
  <c r="L30" i="3"/>
  <c r="K30" i="3"/>
  <c r="J30" i="3"/>
  <c r="I30" i="3"/>
  <c r="H30" i="3"/>
  <c r="G30" i="3"/>
  <c r="F30" i="3"/>
  <c r="O29" i="3"/>
  <c r="N29" i="3"/>
  <c r="M29" i="3"/>
  <c r="L29" i="3"/>
  <c r="K29" i="3"/>
  <c r="J29" i="3"/>
  <c r="I29" i="3"/>
  <c r="H29" i="3"/>
  <c r="G29" i="3"/>
  <c r="F29" i="3"/>
  <c r="O28" i="3"/>
  <c r="N28" i="3"/>
  <c r="M28" i="3"/>
  <c r="L28" i="3"/>
  <c r="K28" i="3"/>
  <c r="J28" i="3"/>
  <c r="I28" i="3"/>
  <c r="H28" i="3"/>
  <c r="G28" i="3"/>
  <c r="F28" i="3"/>
  <c r="O27" i="3"/>
  <c r="N27" i="3"/>
  <c r="M27" i="3"/>
  <c r="L27" i="3"/>
  <c r="K27" i="3"/>
  <c r="J27" i="3"/>
  <c r="I27" i="3"/>
  <c r="H27" i="3"/>
  <c r="G27" i="3"/>
  <c r="F27" i="3"/>
  <c r="O26" i="3"/>
  <c r="N26" i="3"/>
  <c r="M26" i="3"/>
  <c r="L26" i="3"/>
  <c r="K26" i="3"/>
  <c r="J26" i="3"/>
  <c r="I26" i="3"/>
  <c r="H26" i="3"/>
  <c r="G26" i="3"/>
  <c r="F26" i="3"/>
  <c r="O25" i="3"/>
  <c r="N25" i="3"/>
  <c r="M25" i="3"/>
  <c r="L25" i="3"/>
  <c r="K25" i="3"/>
  <c r="J25" i="3"/>
  <c r="I25" i="3"/>
  <c r="H25" i="3"/>
  <c r="G25" i="3"/>
  <c r="F25" i="3"/>
  <c r="O24" i="3"/>
  <c r="N24" i="3"/>
  <c r="M24" i="3"/>
  <c r="L24" i="3"/>
  <c r="K24" i="3"/>
  <c r="J24" i="3"/>
  <c r="I24" i="3"/>
  <c r="H24" i="3"/>
  <c r="G24" i="3"/>
  <c r="F24" i="3"/>
  <c r="O23" i="3"/>
  <c r="N23" i="3"/>
  <c r="M23" i="3"/>
  <c r="L23" i="3"/>
  <c r="K23" i="3"/>
  <c r="J23" i="3"/>
  <c r="I23" i="3"/>
  <c r="H23" i="3"/>
  <c r="G23" i="3"/>
  <c r="F23" i="3"/>
  <c r="O22" i="3"/>
  <c r="N22" i="3"/>
  <c r="M22" i="3"/>
  <c r="L22" i="3"/>
  <c r="K22" i="3"/>
  <c r="J22" i="3"/>
  <c r="I22" i="3"/>
  <c r="H22" i="3"/>
  <c r="G22" i="3"/>
  <c r="F22" i="3"/>
  <c r="O21" i="3"/>
  <c r="N21" i="3"/>
  <c r="M21" i="3"/>
  <c r="L21" i="3"/>
  <c r="K21" i="3"/>
  <c r="J21" i="3"/>
  <c r="I21" i="3"/>
  <c r="H21" i="3"/>
  <c r="G21" i="3"/>
  <c r="F21" i="3"/>
  <c r="O20" i="3"/>
  <c r="N20" i="3"/>
  <c r="M20" i="3"/>
  <c r="L20" i="3"/>
  <c r="K20" i="3"/>
  <c r="J20" i="3"/>
  <c r="I20" i="3"/>
  <c r="H20" i="3"/>
  <c r="G20" i="3"/>
  <c r="F20" i="3"/>
  <c r="O19" i="3"/>
  <c r="N19" i="3"/>
  <c r="M19" i="3"/>
  <c r="L19" i="3"/>
  <c r="K19" i="3"/>
  <c r="J19" i="3"/>
  <c r="I19" i="3"/>
  <c r="H19" i="3"/>
  <c r="G19" i="3"/>
  <c r="F19" i="3"/>
  <c r="O18" i="3"/>
  <c r="N18" i="3"/>
  <c r="M18" i="3"/>
  <c r="L18" i="3"/>
  <c r="K18" i="3"/>
  <c r="J18" i="3"/>
  <c r="I18" i="3"/>
  <c r="H18" i="3"/>
  <c r="G18" i="3"/>
  <c r="F18" i="3"/>
  <c r="O17" i="3"/>
  <c r="N17" i="3"/>
  <c r="M17" i="3"/>
  <c r="L17" i="3"/>
  <c r="K17" i="3"/>
  <c r="J17" i="3"/>
  <c r="I17" i="3"/>
  <c r="H17" i="3"/>
  <c r="G17" i="3"/>
  <c r="F17" i="3"/>
  <c r="O16" i="3"/>
  <c r="N16" i="3"/>
  <c r="M16" i="3"/>
  <c r="L16" i="3"/>
  <c r="K16" i="3"/>
  <c r="J16" i="3"/>
  <c r="I16" i="3"/>
  <c r="H16" i="3"/>
  <c r="G16" i="3"/>
  <c r="F16" i="3"/>
  <c r="O15" i="3"/>
  <c r="N15" i="3"/>
  <c r="M15" i="3"/>
  <c r="L15" i="3"/>
  <c r="K15" i="3"/>
  <c r="J15" i="3"/>
  <c r="I15" i="3"/>
  <c r="H15" i="3"/>
  <c r="G15" i="3"/>
  <c r="F15" i="3"/>
  <c r="O14" i="3"/>
  <c r="N14" i="3"/>
  <c r="M14" i="3"/>
  <c r="L14" i="3"/>
  <c r="K14" i="3"/>
  <c r="J14" i="3"/>
  <c r="I14" i="3"/>
  <c r="H14" i="3"/>
  <c r="G14" i="3"/>
  <c r="F14" i="3"/>
  <c r="O13" i="3"/>
  <c r="N13" i="3"/>
  <c r="M13" i="3"/>
  <c r="L13" i="3"/>
  <c r="K13" i="3"/>
  <c r="J13" i="3"/>
  <c r="I13" i="3"/>
  <c r="H13" i="3"/>
  <c r="G13" i="3"/>
  <c r="F13" i="3"/>
  <c r="O12" i="3"/>
  <c r="N12" i="3"/>
  <c r="M12" i="3"/>
  <c r="L12" i="3"/>
  <c r="K12" i="3"/>
  <c r="J12" i="3"/>
  <c r="I12" i="3"/>
  <c r="H12" i="3"/>
  <c r="G12" i="3"/>
  <c r="F12" i="3"/>
  <c r="O11" i="3"/>
  <c r="N11" i="3"/>
  <c r="M11" i="3"/>
  <c r="L11" i="3"/>
  <c r="K11" i="3"/>
  <c r="J11" i="3"/>
  <c r="I11" i="3"/>
  <c r="H11" i="3"/>
  <c r="G11" i="3"/>
  <c r="F11" i="3"/>
  <c r="O7" i="3"/>
  <c r="O8" i="3"/>
  <c r="N7" i="3"/>
  <c r="N8" i="3"/>
  <c r="M7" i="3"/>
  <c r="M8" i="3"/>
  <c r="L7" i="3"/>
  <c r="L8" i="3"/>
  <c r="K7" i="3"/>
  <c r="K8" i="3"/>
  <c r="J7" i="3"/>
  <c r="J8" i="3"/>
  <c r="I7" i="3"/>
  <c r="I8" i="3"/>
  <c r="H7" i="3"/>
  <c r="H8" i="3"/>
  <c r="G7" i="3"/>
  <c r="G8" i="3"/>
  <c r="F7" i="3"/>
  <c r="F8" i="3"/>
  <c r="O6" i="3"/>
  <c r="O10" i="3"/>
  <c r="N6" i="3"/>
  <c r="N10" i="3"/>
  <c r="M6" i="3"/>
  <c r="M10" i="3"/>
  <c r="L6" i="3"/>
  <c r="L10" i="3"/>
  <c r="K6" i="3"/>
  <c r="K10" i="3"/>
  <c r="J6" i="3"/>
  <c r="J10" i="3"/>
  <c r="I6" i="3"/>
  <c r="I10" i="3"/>
  <c r="H6" i="3"/>
  <c r="H10" i="3"/>
  <c r="G6" i="3"/>
  <c r="G10" i="3"/>
  <c r="F10" i="3"/>
  <c r="I14" i="2" s="1"/>
  <c r="O5" i="3"/>
  <c r="N5" i="3"/>
  <c r="M5" i="3"/>
  <c r="L5" i="3"/>
  <c r="K5" i="3"/>
  <c r="J5" i="3"/>
  <c r="I5" i="3"/>
  <c r="H5" i="3"/>
  <c r="G5" i="3"/>
  <c r="F5" i="3"/>
  <c r="O4" i="3"/>
  <c r="O9" i="3"/>
  <c r="N4" i="3"/>
  <c r="N9" i="3"/>
  <c r="M4" i="3"/>
  <c r="M9" i="3"/>
  <c r="L4" i="3"/>
  <c r="L9" i="3"/>
  <c r="K4" i="3"/>
  <c r="K9" i="3"/>
  <c r="J4" i="3"/>
  <c r="J9" i="3"/>
  <c r="I4" i="3"/>
  <c r="I9" i="3"/>
  <c r="H4" i="3"/>
  <c r="H9" i="3"/>
  <c r="G4" i="3"/>
  <c r="G9" i="3"/>
  <c r="F4" i="3"/>
  <c r="F9" i="3"/>
  <c r="BB36" i="2"/>
  <c r="AW36" i="2"/>
  <c r="AR36" i="2"/>
  <c r="AM36" i="2"/>
  <c r="AH36" i="2"/>
  <c r="AC36" i="2"/>
  <c r="X36" i="2"/>
  <c r="S36" i="2"/>
  <c r="N36" i="2"/>
  <c r="I36" i="2"/>
  <c r="BB35" i="2"/>
  <c r="AW35" i="2"/>
  <c r="AR35" i="2"/>
  <c r="AM35" i="2"/>
  <c r="AH35" i="2"/>
  <c r="AC35" i="2"/>
  <c r="X35" i="2"/>
  <c r="S35" i="2"/>
  <c r="N35" i="2"/>
  <c r="I35" i="2"/>
  <c r="BB34" i="2"/>
  <c r="AW34" i="2"/>
  <c r="AR34" i="2"/>
  <c r="AM34" i="2"/>
  <c r="AH34" i="2"/>
  <c r="AC34" i="2"/>
  <c r="X34" i="2"/>
  <c r="S34" i="2"/>
  <c r="N34" i="2"/>
  <c r="I34" i="2"/>
  <c r="BB33" i="2"/>
  <c r="AW33" i="2"/>
  <c r="AR33" i="2"/>
  <c r="AM33" i="2"/>
  <c r="AH33" i="2"/>
  <c r="AC33" i="2"/>
  <c r="X33" i="2"/>
  <c r="S33" i="2"/>
  <c r="N33" i="2"/>
  <c r="I33" i="2"/>
  <c r="BB32" i="2"/>
  <c r="AW32" i="2"/>
  <c r="AR32" i="2"/>
  <c r="AM32" i="2"/>
  <c r="AH32" i="2"/>
  <c r="AC32" i="2"/>
  <c r="X32" i="2"/>
  <c r="S32" i="2"/>
  <c r="N32" i="2"/>
  <c r="I32" i="2"/>
  <c r="BB31" i="2"/>
  <c r="AW31" i="2"/>
  <c r="AR31" i="2"/>
  <c r="AM31" i="2"/>
  <c r="AH31" i="2"/>
  <c r="AC31" i="2"/>
  <c r="X31" i="2"/>
  <c r="S31" i="2"/>
  <c r="N31" i="2"/>
  <c r="I31" i="2"/>
  <c r="BB30" i="2"/>
  <c r="AW30" i="2"/>
  <c r="AR30" i="2"/>
  <c r="AM30" i="2"/>
  <c r="AH30" i="2"/>
  <c r="AC30" i="2"/>
  <c r="X30" i="2"/>
  <c r="S30" i="2"/>
  <c r="N30" i="2"/>
  <c r="I30" i="2"/>
  <c r="BB29" i="2"/>
  <c r="AW29" i="2"/>
  <c r="AR29" i="2"/>
  <c r="AM29" i="2"/>
  <c r="AH29" i="2"/>
  <c r="AC29" i="2"/>
  <c r="X29" i="2"/>
  <c r="S29" i="2"/>
  <c r="N29" i="2"/>
  <c r="I29" i="2"/>
  <c r="BB28" i="2"/>
  <c r="AW28" i="2"/>
  <c r="AR28" i="2"/>
  <c r="AM28" i="2"/>
  <c r="AH28" i="2"/>
  <c r="AC28" i="2"/>
  <c r="X28" i="2"/>
  <c r="S28" i="2"/>
  <c r="N28" i="2"/>
  <c r="I28" i="2"/>
  <c r="BB27" i="2"/>
  <c r="AW27" i="2"/>
  <c r="AR27" i="2"/>
  <c r="AM27" i="2"/>
  <c r="AH27" i="2"/>
  <c r="AC27" i="2"/>
  <c r="X27" i="2"/>
  <c r="S27" i="2"/>
  <c r="N27" i="2"/>
  <c r="I27" i="2"/>
  <c r="BB26" i="2"/>
  <c r="AW26" i="2"/>
  <c r="AR26" i="2"/>
  <c r="AM26" i="2"/>
  <c r="AH26" i="2"/>
  <c r="AC26" i="2"/>
  <c r="X26" i="2"/>
  <c r="S26" i="2"/>
  <c r="N26" i="2"/>
  <c r="I26" i="2"/>
  <c r="BB24" i="2"/>
  <c r="AF22" i="14"/>
  <c r="AW24" i="2"/>
  <c r="AC22" i="14"/>
  <c r="AR24" i="2"/>
  <c r="Z22" i="14"/>
  <c r="AM24" i="2"/>
  <c r="W22" i="14"/>
  <c r="AH24" i="2"/>
  <c r="T22" i="14"/>
  <c r="AC24" i="2"/>
  <c r="Q22" i="14"/>
  <c r="X24" i="2"/>
  <c r="N22" i="14"/>
  <c r="S24" i="2"/>
  <c r="K22" i="14"/>
  <c r="N24" i="2"/>
  <c r="H22" i="14"/>
  <c r="I24" i="2"/>
  <c r="E22" i="14"/>
  <c r="BB23" i="2"/>
  <c r="AF21" i="14"/>
  <c r="AW23" i="2"/>
  <c r="AC21" i="14"/>
  <c r="AR23" i="2"/>
  <c r="Z21" i="14"/>
  <c r="AM23" i="2"/>
  <c r="W21" i="14"/>
  <c r="AH23" i="2"/>
  <c r="T21" i="14"/>
  <c r="AC23" i="2"/>
  <c r="Q21" i="14"/>
  <c r="X23" i="2"/>
  <c r="N21" i="14"/>
  <c r="S23" i="2"/>
  <c r="K21" i="14"/>
  <c r="N23" i="2"/>
  <c r="H21" i="14"/>
  <c r="I23" i="2"/>
  <c r="E21" i="14"/>
  <c r="BB22" i="2"/>
  <c r="AF20" i="14"/>
  <c r="AW22" i="2"/>
  <c r="AC20" i="14"/>
  <c r="AR22" i="2"/>
  <c r="Z20" i="14"/>
  <c r="AM22" i="2"/>
  <c r="W20" i="14"/>
  <c r="AH22" i="2"/>
  <c r="T20" i="14"/>
  <c r="AC22" i="2"/>
  <c r="Q20" i="14"/>
  <c r="X22" i="2"/>
  <c r="N20" i="14"/>
  <c r="S22" i="2"/>
  <c r="K20" i="14"/>
  <c r="N22" i="2"/>
  <c r="H20" i="14"/>
  <c r="I22" i="2"/>
  <c r="E20" i="14"/>
  <c r="BB21" i="2"/>
  <c r="AF19" i="14"/>
  <c r="AW21" i="2"/>
  <c r="AC19" i="14"/>
  <c r="AR21" i="2"/>
  <c r="Z19" i="14"/>
  <c r="AM21" i="2"/>
  <c r="W19" i="14"/>
  <c r="AH21" i="2"/>
  <c r="T19" i="14"/>
  <c r="AC21" i="2"/>
  <c r="Q19" i="14"/>
  <c r="X21" i="2"/>
  <c r="N19" i="14"/>
  <c r="S21" i="2"/>
  <c r="K19" i="14"/>
  <c r="N21" i="2"/>
  <c r="H19" i="14"/>
  <c r="I21" i="2"/>
  <c r="E19" i="14"/>
  <c r="BB20" i="2"/>
  <c r="AW20" i="2"/>
  <c r="AR20" i="2"/>
  <c r="AM20" i="2"/>
  <c r="AH20" i="2"/>
  <c r="AC20" i="2"/>
  <c r="X20" i="2"/>
  <c r="S20" i="2"/>
  <c r="N20" i="2"/>
  <c r="I20" i="2"/>
  <c r="BB19" i="2"/>
  <c r="AW19" i="2"/>
  <c r="AR19" i="2"/>
  <c r="AM19" i="2"/>
  <c r="AH19" i="2"/>
  <c r="AC19" i="2"/>
  <c r="X19" i="2"/>
  <c r="S19" i="2"/>
  <c r="N19" i="2"/>
  <c r="I19" i="2"/>
  <c r="BB17" i="2"/>
  <c r="AF16" i="14"/>
  <c r="AW17" i="2"/>
  <c r="AC16" i="14"/>
  <c r="AR17" i="2"/>
  <c r="Z16" i="14"/>
  <c r="AM17" i="2"/>
  <c r="W16" i="14"/>
  <c r="AH17" i="2"/>
  <c r="T16" i="14"/>
  <c r="AC17" i="2"/>
  <c r="Q16" i="14"/>
  <c r="X17" i="2"/>
  <c r="N16" i="14"/>
  <c r="S17" i="2"/>
  <c r="K16" i="14"/>
  <c r="N17" i="2"/>
  <c r="H16" i="14"/>
  <c r="I17" i="2"/>
  <c r="E16" i="14"/>
  <c r="BB16" i="2"/>
  <c r="AW16" i="2"/>
  <c r="AR16" i="2"/>
  <c r="AM16" i="2"/>
  <c r="AH16" i="2"/>
  <c r="AC16" i="2"/>
  <c r="X16" i="2"/>
  <c r="S16" i="2"/>
  <c r="N16" i="2"/>
  <c r="I16" i="2"/>
  <c r="BB14" i="2"/>
  <c r="AF14" i="14"/>
  <c r="AW14" i="2"/>
  <c r="AC14" i="14"/>
  <c r="AR14" i="2"/>
  <c r="Z14" i="14"/>
  <c r="AM14" i="2"/>
  <c r="W14" i="14"/>
  <c r="AH14" i="2"/>
  <c r="T14" i="14"/>
  <c r="AC14" i="2"/>
  <c r="Q14" i="14"/>
  <c r="X14" i="2"/>
  <c r="N14" i="14"/>
  <c r="S14" i="2"/>
  <c r="K14" i="14"/>
  <c r="N14" i="2"/>
  <c r="H14" i="14"/>
  <c r="BB13" i="2"/>
  <c r="AF13" i="14"/>
  <c r="AW13" i="2"/>
  <c r="AC13" i="14"/>
  <c r="AR13" i="2"/>
  <c r="Z13" i="14"/>
  <c r="AM13" i="2"/>
  <c r="W13" i="14"/>
  <c r="AH13" i="2"/>
  <c r="T13" i="14"/>
  <c r="AC13" i="2"/>
  <c r="Q13" i="14"/>
  <c r="X13" i="2"/>
  <c r="N13" i="14"/>
  <c r="S13" i="2"/>
  <c r="K13" i="14"/>
  <c r="N13" i="2"/>
  <c r="H13" i="14"/>
  <c r="I13" i="2"/>
  <c r="E13" i="14"/>
  <c r="BB12" i="2"/>
  <c r="AW12" i="2"/>
  <c r="AR12" i="2"/>
  <c r="AM12" i="2"/>
  <c r="AH12" i="2"/>
  <c r="AC12" i="2"/>
  <c r="X12" i="2"/>
  <c r="S12" i="2"/>
  <c r="N12" i="2"/>
  <c r="I12" i="2"/>
  <c r="BB10" i="2"/>
  <c r="AW10" i="2"/>
  <c r="AR10" i="2"/>
  <c r="AM10" i="2"/>
  <c r="AH10" i="2"/>
  <c r="AC10" i="2"/>
  <c r="X10" i="2"/>
  <c r="S10" i="2"/>
  <c r="N10" i="2"/>
  <c r="I10" i="2"/>
  <c r="BB9" i="2"/>
  <c r="AW9" i="2"/>
  <c r="AR9" i="2"/>
  <c r="AM9" i="2"/>
  <c r="AH9" i="2"/>
  <c r="AC9" i="2"/>
  <c r="X9" i="2"/>
  <c r="S9" i="2"/>
  <c r="N9" i="2"/>
  <c r="I9" i="2"/>
  <c r="E9" i="14" s="1"/>
  <c r="BB7" i="2"/>
  <c r="BA7" i="2"/>
  <c r="AW7" i="2"/>
  <c r="AV7" i="2"/>
  <c r="AR7" i="2"/>
  <c r="AQ7" i="2"/>
  <c r="AM7" i="2"/>
  <c r="AL7" i="2"/>
  <c r="AH7" i="2"/>
  <c r="AG7" i="2"/>
  <c r="AC7" i="2"/>
  <c r="AB7" i="2"/>
  <c r="X7" i="2"/>
  <c r="W7" i="2"/>
  <c r="S7" i="2"/>
  <c r="R7" i="2"/>
  <c r="N7" i="2"/>
  <c r="M7" i="2"/>
  <c r="I7" i="2"/>
  <c r="H7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BB5" i="2"/>
  <c r="BA5" i="2"/>
  <c r="BA8" i="2"/>
  <c r="AZ5" i="2"/>
  <c r="AZ8" i="2"/>
  <c r="AY5" i="2"/>
  <c r="AY8" i="2"/>
  <c r="AX5" i="2"/>
  <c r="AX8" i="2"/>
  <c r="AW5" i="2"/>
  <c r="AV5" i="2"/>
  <c r="AV8" i="2"/>
  <c r="AU5" i="2"/>
  <c r="AU8" i="2"/>
  <c r="AT5" i="2"/>
  <c r="AT8" i="2"/>
  <c r="AS5" i="2"/>
  <c r="AS8" i="2"/>
  <c r="AR5" i="2"/>
  <c r="AQ5" i="2"/>
  <c r="AQ8" i="2"/>
  <c r="AP5" i="2"/>
  <c r="AP8" i="2"/>
  <c r="AO5" i="2"/>
  <c r="AO8" i="2"/>
  <c r="AN5" i="2"/>
  <c r="AN8" i="2"/>
  <c r="AM5" i="2"/>
  <c r="AL5" i="2"/>
  <c r="AL8" i="2"/>
  <c r="AK5" i="2"/>
  <c r="AK8" i="2"/>
  <c r="AJ5" i="2"/>
  <c r="AJ8" i="2"/>
  <c r="AI5" i="2"/>
  <c r="AI8" i="2"/>
  <c r="AH5" i="2"/>
  <c r="AG5" i="2"/>
  <c r="AG8" i="2"/>
  <c r="AF5" i="2"/>
  <c r="AF8" i="2"/>
  <c r="AE5" i="2"/>
  <c r="AE8" i="2"/>
  <c r="AD5" i="2"/>
  <c r="AD8" i="2"/>
  <c r="AC5" i="2"/>
  <c r="AB5" i="2"/>
  <c r="AB8" i="2"/>
  <c r="AA5" i="2"/>
  <c r="AA8" i="2"/>
  <c r="Z5" i="2"/>
  <c r="Z8" i="2"/>
  <c r="Y5" i="2"/>
  <c r="Y8" i="2"/>
  <c r="X5" i="2"/>
  <c r="W5" i="2"/>
  <c r="W8" i="2"/>
  <c r="V5" i="2"/>
  <c r="V8" i="2"/>
  <c r="U5" i="2"/>
  <c r="U8" i="2"/>
  <c r="T5" i="2"/>
  <c r="T8" i="2"/>
  <c r="S5" i="2"/>
  <c r="R5" i="2"/>
  <c r="R8" i="2"/>
  <c r="Q5" i="2"/>
  <c r="Q8" i="2"/>
  <c r="P5" i="2"/>
  <c r="P8" i="2"/>
  <c r="O5" i="2"/>
  <c r="O8" i="2"/>
  <c r="N5" i="2"/>
  <c r="M5" i="2"/>
  <c r="M8" i="2"/>
  <c r="L5" i="2"/>
  <c r="L8" i="2"/>
  <c r="K5" i="2"/>
  <c r="K8" i="2"/>
  <c r="J5" i="2"/>
  <c r="J8" i="2"/>
  <c r="I5" i="2"/>
  <c r="H5" i="2"/>
  <c r="H8" i="2"/>
  <c r="G5" i="2"/>
  <c r="G8" i="2"/>
  <c r="F5" i="2"/>
  <c r="F8" i="2"/>
  <c r="E5" i="2"/>
  <c r="E8" i="2"/>
  <c r="E5" i="14"/>
  <c r="I8" i="2"/>
  <c r="H5" i="14"/>
  <c r="N8" i="2"/>
  <c r="K5" i="14"/>
  <c r="S8" i="2"/>
  <c r="N5" i="14"/>
  <c r="X8" i="2"/>
  <c r="Q5" i="14"/>
  <c r="AC8" i="2"/>
  <c r="T5" i="14"/>
  <c r="AH8" i="2"/>
  <c r="W5" i="14"/>
  <c r="AM8" i="2"/>
  <c r="Z5" i="14"/>
  <c r="AR8" i="2"/>
  <c r="AC5" i="14"/>
  <c r="AW8" i="2"/>
  <c r="AF5" i="14"/>
  <c r="BB8" i="2"/>
  <c r="E6" i="14"/>
  <c r="H6" i="14"/>
  <c r="K6" i="14"/>
  <c r="N6" i="14"/>
  <c r="Q6" i="14"/>
  <c r="T6" i="14"/>
  <c r="W6" i="14"/>
  <c r="Z6" i="14"/>
  <c r="AC6" i="14"/>
  <c r="AF6" i="14"/>
  <c r="E7" i="14"/>
  <c r="H7" i="14"/>
  <c r="K7" i="14"/>
  <c r="N7" i="14"/>
  <c r="Q7" i="14"/>
  <c r="T7" i="14"/>
  <c r="W7" i="14"/>
  <c r="Z7" i="14"/>
  <c r="AC7" i="14"/>
  <c r="AF7" i="14"/>
  <c r="H9" i="14"/>
  <c r="N11" i="2"/>
  <c r="K9" i="14"/>
  <c r="S11" i="2"/>
  <c r="N9" i="14"/>
  <c r="X11" i="2"/>
  <c r="Q9" i="14"/>
  <c r="AC11" i="2"/>
  <c r="T9" i="14"/>
  <c r="AH11" i="2"/>
  <c r="W9" i="14"/>
  <c r="AM11" i="2"/>
  <c r="Z9" i="14"/>
  <c r="AR11" i="2"/>
  <c r="AC9" i="14"/>
  <c r="AW11" i="2"/>
  <c r="AF9" i="14"/>
  <c r="BB11" i="2"/>
  <c r="E10" i="14"/>
  <c r="H10" i="14"/>
  <c r="K10" i="14"/>
  <c r="N10" i="14"/>
  <c r="Q10" i="14"/>
  <c r="T10" i="14"/>
  <c r="W10" i="14"/>
  <c r="Z10" i="14"/>
  <c r="AC10" i="14"/>
  <c r="AF10" i="14"/>
  <c r="E12" i="14"/>
  <c r="H12" i="14"/>
  <c r="N15" i="2"/>
  <c r="K12" i="14"/>
  <c r="S15" i="2"/>
  <c r="N12" i="14"/>
  <c r="X15" i="2"/>
  <c r="Q12" i="14"/>
  <c r="AC15" i="2"/>
  <c r="T12" i="14"/>
  <c r="AH15" i="2"/>
  <c r="W12" i="14"/>
  <c r="AM15" i="2"/>
  <c r="Z12" i="14"/>
  <c r="AR15" i="2"/>
  <c r="AC12" i="14"/>
  <c r="AW15" i="2"/>
  <c r="AF12" i="14"/>
  <c r="BB15" i="2"/>
  <c r="G13" i="14"/>
  <c r="F13" i="14"/>
  <c r="J13" i="14"/>
  <c r="I13" i="14"/>
  <c r="M13" i="14"/>
  <c r="L13" i="14"/>
  <c r="P13" i="14"/>
  <c r="O13" i="14"/>
  <c r="S13" i="14"/>
  <c r="R13" i="14"/>
  <c r="V13" i="14"/>
  <c r="U13" i="14"/>
  <c r="Y13" i="14"/>
  <c r="X13" i="14"/>
  <c r="AB13" i="14"/>
  <c r="AA13" i="14"/>
  <c r="AE13" i="14"/>
  <c r="AD13" i="14"/>
  <c r="AH13" i="14"/>
  <c r="AG13" i="14"/>
  <c r="J14" i="14"/>
  <c r="I14" i="14"/>
  <c r="M14" i="14"/>
  <c r="L14" i="14"/>
  <c r="P14" i="14"/>
  <c r="O14" i="14"/>
  <c r="S14" i="14"/>
  <c r="R14" i="14"/>
  <c r="V14" i="14"/>
  <c r="U14" i="14"/>
  <c r="Y14" i="14"/>
  <c r="X14" i="14"/>
  <c r="AB14" i="14"/>
  <c r="AA14" i="14"/>
  <c r="AE14" i="14"/>
  <c r="AD14" i="14"/>
  <c r="AH14" i="14"/>
  <c r="AG14" i="14"/>
  <c r="E15" i="14"/>
  <c r="I18" i="2"/>
  <c r="H15" i="14"/>
  <c r="N18" i="2"/>
  <c r="K15" i="14"/>
  <c r="S18" i="2"/>
  <c r="N15" i="14"/>
  <c r="X18" i="2"/>
  <c r="Q15" i="14"/>
  <c r="AC18" i="2"/>
  <c r="T15" i="14"/>
  <c r="AH18" i="2"/>
  <c r="W15" i="14"/>
  <c r="AM18" i="2"/>
  <c r="Z15" i="14"/>
  <c r="AR18" i="2"/>
  <c r="AC15" i="14"/>
  <c r="AW18" i="2"/>
  <c r="AF15" i="14"/>
  <c r="BB18" i="2"/>
  <c r="G16" i="14"/>
  <c r="F16" i="14"/>
  <c r="J16" i="14"/>
  <c r="I16" i="14"/>
  <c r="M16" i="14"/>
  <c r="L16" i="14"/>
  <c r="P16" i="14"/>
  <c r="O16" i="14"/>
  <c r="S16" i="14"/>
  <c r="R16" i="14"/>
  <c r="V16" i="14"/>
  <c r="U16" i="14"/>
  <c r="Y16" i="14"/>
  <c r="X16" i="14"/>
  <c r="AB16" i="14"/>
  <c r="AA16" i="14"/>
  <c r="AE16" i="14"/>
  <c r="AD16" i="14"/>
  <c r="AH16" i="14"/>
  <c r="AG16" i="14"/>
  <c r="E17" i="14"/>
  <c r="H17" i="14"/>
  <c r="K17" i="14"/>
  <c r="N17" i="14"/>
  <c r="Q17" i="14"/>
  <c r="T17" i="14"/>
  <c r="W17" i="14"/>
  <c r="Z17" i="14"/>
  <c r="AC17" i="14"/>
  <c r="AF17" i="14"/>
  <c r="E18" i="14"/>
  <c r="I25" i="2"/>
  <c r="H18" i="14"/>
  <c r="N25" i="2"/>
  <c r="K18" i="14"/>
  <c r="S25" i="2"/>
  <c r="N18" i="14"/>
  <c r="X25" i="2"/>
  <c r="Q18" i="14"/>
  <c r="AC25" i="2"/>
  <c r="T18" i="14"/>
  <c r="AH25" i="2"/>
  <c r="W18" i="14"/>
  <c r="AM25" i="2"/>
  <c r="Z18" i="14"/>
  <c r="AR25" i="2"/>
  <c r="AC18" i="14"/>
  <c r="AW25" i="2"/>
  <c r="AF18" i="14"/>
  <c r="BB25" i="2"/>
  <c r="G19" i="14"/>
  <c r="F19" i="14"/>
  <c r="J19" i="14"/>
  <c r="I19" i="14"/>
  <c r="M19" i="14"/>
  <c r="L19" i="14"/>
  <c r="P19" i="14"/>
  <c r="O19" i="14"/>
  <c r="S19" i="14"/>
  <c r="R19" i="14"/>
  <c r="V19" i="14"/>
  <c r="U19" i="14"/>
  <c r="Y19" i="14"/>
  <c r="X19" i="14"/>
  <c r="AB19" i="14"/>
  <c r="AA19" i="14"/>
  <c r="AE19" i="14"/>
  <c r="AD19" i="14"/>
  <c r="AH19" i="14"/>
  <c r="AG19" i="14"/>
  <c r="G20" i="14"/>
  <c r="F20" i="14"/>
  <c r="J20" i="14"/>
  <c r="I20" i="14"/>
  <c r="M20" i="14"/>
  <c r="L20" i="14"/>
  <c r="P20" i="14"/>
  <c r="O20" i="14"/>
  <c r="S20" i="14"/>
  <c r="R20" i="14"/>
  <c r="V20" i="14"/>
  <c r="U20" i="14"/>
  <c r="Y20" i="14"/>
  <c r="X20" i="14"/>
  <c r="AB20" i="14"/>
  <c r="AA20" i="14"/>
  <c r="AE20" i="14"/>
  <c r="AD20" i="14"/>
  <c r="AH20" i="14"/>
  <c r="AG20" i="14"/>
  <c r="G21" i="14"/>
  <c r="F21" i="14"/>
  <c r="J21" i="14"/>
  <c r="I21" i="14"/>
  <c r="M21" i="14"/>
  <c r="L21" i="14"/>
  <c r="P21" i="14"/>
  <c r="O21" i="14"/>
  <c r="S21" i="14"/>
  <c r="R21" i="14"/>
  <c r="V21" i="14"/>
  <c r="U21" i="14"/>
  <c r="Y21" i="14"/>
  <c r="X21" i="14"/>
  <c r="AB21" i="14"/>
  <c r="AA21" i="14"/>
  <c r="AE21" i="14"/>
  <c r="AD21" i="14"/>
  <c r="AH21" i="14"/>
  <c r="AG21" i="14"/>
  <c r="G22" i="14"/>
  <c r="F22" i="14"/>
  <c r="J22" i="14"/>
  <c r="I22" i="14"/>
  <c r="M22" i="14"/>
  <c r="L22" i="14"/>
  <c r="P22" i="14"/>
  <c r="O22" i="14"/>
  <c r="S22" i="14"/>
  <c r="R22" i="14"/>
  <c r="V22" i="14"/>
  <c r="U22" i="14"/>
  <c r="Y22" i="14"/>
  <c r="X22" i="14"/>
  <c r="AB22" i="14"/>
  <c r="AA22" i="14"/>
  <c r="AE22" i="14"/>
  <c r="AD22" i="14"/>
  <c r="AH22" i="14"/>
  <c r="AG22" i="14"/>
  <c r="E23" i="14"/>
  <c r="I37" i="2"/>
  <c r="H23" i="14"/>
  <c r="N37" i="2"/>
  <c r="K23" i="14"/>
  <c r="S37" i="2"/>
  <c r="N23" i="14"/>
  <c r="X37" i="2"/>
  <c r="Q23" i="14"/>
  <c r="AC37" i="2"/>
  <c r="T23" i="14"/>
  <c r="AH37" i="2"/>
  <c r="W23" i="14"/>
  <c r="AM37" i="2"/>
  <c r="Z23" i="14"/>
  <c r="AR37" i="2"/>
  <c r="AC23" i="14"/>
  <c r="AW37" i="2"/>
  <c r="AF23" i="14"/>
  <c r="BB37" i="2"/>
  <c r="E24" i="14"/>
  <c r="C39" i="7"/>
  <c r="H24" i="14"/>
  <c r="D39" i="7"/>
  <c r="K24" i="14"/>
  <c r="E39" i="7"/>
  <c r="N24" i="14"/>
  <c r="F39" i="7"/>
  <c r="Q24" i="14"/>
  <c r="G39" i="7"/>
  <c r="T24" i="14"/>
  <c r="H39" i="7"/>
  <c r="W24" i="14"/>
  <c r="I39" i="7"/>
  <c r="Z24" i="14"/>
  <c r="J39" i="7"/>
  <c r="AC24" i="14"/>
  <c r="K39" i="7"/>
  <c r="AF24" i="14"/>
  <c r="L39" i="7"/>
  <c r="E25" i="14"/>
  <c r="C40" i="7"/>
  <c r="H25" i="14"/>
  <c r="D40" i="7"/>
  <c r="K25" i="14"/>
  <c r="E40" i="7"/>
  <c r="N25" i="14"/>
  <c r="F40" i="7"/>
  <c r="Q25" i="14"/>
  <c r="G40" i="7"/>
  <c r="T25" i="14"/>
  <c r="H40" i="7"/>
  <c r="W25" i="14"/>
  <c r="I40" i="7"/>
  <c r="Z25" i="14"/>
  <c r="J40" i="7"/>
  <c r="AC25" i="14"/>
  <c r="K40" i="7"/>
  <c r="AF25" i="14"/>
  <c r="L40" i="7"/>
  <c r="E26" i="14"/>
  <c r="C41" i="7"/>
  <c r="H26" i="14"/>
  <c r="D41" i="7"/>
  <c r="K26" i="14"/>
  <c r="E41" i="7"/>
  <c r="N26" i="14"/>
  <c r="F41" i="7"/>
  <c r="Q26" i="14"/>
  <c r="G41" i="7"/>
  <c r="T26" i="14"/>
  <c r="H41" i="7"/>
  <c r="W26" i="14"/>
  <c r="I41" i="7"/>
  <c r="Z26" i="14"/>
  <c r="J41" i="7"/>
  <c r="AC26" i="14"/>
  <c r="K41" i="7"/>
  <c r="AF26" i="14"/>
  <c r="L41" i="7"/>
  <c r="E27" i="14"/>
  <c r="C42" i="7"/>
  <c r="H27" i="14"/>
  <c r="D42" i="7"/>
  <c r="K27" i="14"/>
  <c r="E42" i="7"/>
  <c r="N27" i="14"/>
  <c r="F42" i="7"/>
  <c r="Q27" i="14"/>
  <c r="G42" i="7"/>
  <c r="T27" i="14"/>
  <c r="H42" i="7"/>
  <c r="W27" i="14"/>
  <c r="I42" i="7"/>
  <c r="Z27" i="14"/>
  <c r="J42" i="7"/>
  <c r="AC27" i="14"/>
  <c r="K42" i="7"/>
  <c r="AF27" i="14"/>
  <c r="L42" i="7"/>
  <c r="E28" i="14"/>
  <c r="C43" i="7"/>
  <c r="H28" i="14"/>
  <c r="D43" i="7"/>
  <c r="K28" i="14"/>
  <c r="E43" i="7"/>
  <c r="N28" i="14"/>
  <c r="F43" i="7"/>
  <c r="Q28" i="14"/>
  <c r="G43" i="7"/>
  <c r="T28" i="14"/>
  <c r="H43" i="7"/>
  <c r="W28" i="14"/>
  <c r="I43" i="7"/>
  <c r="Z28" i="14"/>
  <c r="J43" i="7"/>
  <c r="AC28" i="14"/>
  <c r="K43" i="7"/>
  <c r="AF28" i="14"/>
  <c r="L43" i="7"/>
  <c r="E29" i="14"/>
  <c r="C44" i="7"/>
  <c r="H29" i="14"/>
  <c r="D44" i="7"/>
  <c r="K29" i="14"/>
  <c r="E44" i="7"/>
  <c r="N29" i="14"/>
  <c r="F44" i="7"/>
  <c r="Q29" i="14"/>
  <c r="G44" i="7"/>
  <c r="T29" i="14"/>
  <c r="H44" i="7"/>
  <c r="W29" i="14"/>
  <c r="I44" i="7"/>
  <c r="Z29" i="14"/>
  <c r="J44" i="7"/>
  <c r="AC29" i="14"/>
  <c r="K44" i="7"/>
  <c r="AF29" i="14"/>
  <c r="L44" i="7"/>
  <c r="E30" i="14"/>
  <c r="C45" i="7"/>
  <c r="H30" i="14"/>
  <c r="D45" i="7"/>
  <c r="K30" i="14"/>
  <c r="E45" i="7"/>
  <c r="N30" i="14"/>
  <c r="F45" i="7"/>
  <c r="Q30" i="14"/>
  <c r="G45" i="7"/>
  <c r="T30" i="14"/>
  <c r="H45" i="7"/>
  <c r="W30" i="14"/>
  <c r="I45" i="7"/>
  <c r="Z30" i="14"/>
  <c r="J45" i="7"/>
  <c r="AC30" i="14"/>
  <c r="K45" i="7"/>
  <c r="AF30" i="14"/>
  <c r="L45" i="7"/>
  <c r="E31" i="14"/>
  <c r="C46" i="7"/>
  <c r="H31" i="14"/>
  <c r="D46" i="7"/>
  <c r="K31" i="14"/>
  <c r="E46" i="7"/>
  <c r="N31" i="14"/>
  <c r="F46" i="7"/>
  <c r="Q31" i="14"/>
  <c r="G46" i="7"/>
  <c r="T31" i="14"/>
  <c r="H46" i="7"/>
  <c r="W31" i="14"/>
  <c r="I46" i="7"/>
  <c r="Z31" i="14"/>
  <c r="J46" i="7"/>
  <c r="AC31" i="14"/>
  <c r="K46" i="7"/>
  <c r="AF31" i="14"/>
  <c r="L46" i="7"/>
  <c r="E32" i="14"/>
  <c r="C47" i="7"/>
  <c r="H32" i="14"/>
  <c r="D47" i="7"/>
  <c r="K32" i="14"/>
  <c r="E47" i="7"/>
  <c r="N32" i="14"/>
  <c r="F47" i="7"/>
  <c r="Q32" i="14"/>
  <c r="G47" i="7"/>
  <c r="T32" i="14"/>
  <c r="H47" i="7"/>
  <c r="W32" i="14"/>
  <c r="I47" i="7"/>
  <c r="Z32" i="14"/>
  <c r="J47" i="7"/>
  <c r="AC32" i="14"/>
  <c r="K47" i="7"/>
  <c r="AF32" i="14"/>
  <c r="L47" i="7"/>
  <c r="E33" i="14"/>
  <c r="C48" i="7"/>
  <c r="H33" i="14"/>
  <c r="D48" i="7"/>
  <c r="K33" i="14"/>
  <c r="E48" i="7"/>
  <c r="N33" i="14"/>
  <c r="F48" i="7"/>
  <c r="Q33" i="14"/>
  <c r="G48" i="7"/>
  <c r="T33" i="14"/>
  <c r="H48" i="7"/>
  <c r="W33" i="14"/>
  <c r="I48" i="7"/>
  <c r="Z33" i="14"/>
  <c r="J48" i="7"/>
  <c r="AC33" i="14"/>
  <c r="K48" i="7"/>
  <c r="AF33" i="14"/>
  <c r="L48" i="7"/>
  <c r="C35" i="7"/>
  <c r="C34" i="7"/>
  <c r="C33" i="7"/>
  <c r="C32" i="7"/>
  <c r="C31" i="7"/>
  <c r="D35" i="7"/>
  <c r="D34" i="7"/>
  <c r="D33" i="7"/>
  <c r="D32" i="7"/>
  <c r="D31" i="7"/>
  <c r="E35" i="7"/>
  <c r="E34" i="7"/>
  <c r="E33" i="7"/>
  <c r="E32" i="7"/>
  <c r="E31" i="7"/>
  <c r="F35" i="7"/>
  <c r="F34" i="7"/>
  <c r="F33" i="7"/>
  <c r="F32" i="7"/>
  <c r="F31" i="7"/>
  <c r="G35" i="7"/>
  <c r="G34" i="7"/>
  <c r="G33" i="7"/>
  <c r="G32" i="7"/>
  <c r="G31" i="7"/>
  <c r="H35" i="7"/>
  <c r="H34" i="7"/>
  <c r="H33" i="7"/>
  <c r="H32" i="7"/>
  <c r="H31" i="7"/>
  <c r="I35" i="7"/>
  <c r="I34" i="7"/>
  <c r="I33" i="7"/>
  <c r="I32" i="7"/>
  <c r="I31" i="7"/>
  <c r="J35" i="7"/>
  <c r="J34" i="7"/>
  <c r="J33" i="7"/>
  <c r="J32" i="7"/>
  <c r="J31" i="7"/>
  <c r="K35" i="7"/>
  <c r="K34" i="7"/>
  <c r="K33" i="7"/>
  <c r="K32" i="7"/>
  <c r="K31" i="7"/>
  <c r="L35" i="7"/>
  <c r="L34" i="7"/>
  <c r="L33" i="7"/>
  <c r="L32" i="7"/>
  <c r="L31" i="7"/>
  <c r="AH33" i="14"/>
  <c r="AG33" i="14"/>
  <c r="AE33" i="14"/>
  <c r="AD33" i="14"/>
  <c r="AB33" i="14"/>
  <c r="AA33" i="14"/>
  <c r="Y33" i="14"/>
  <c r="X33" i="14"/>
  <c r="V33" i="14"/>
  <c r="U33" i="14"/>
  <c r="S33" i="14"/>
  <c r="R33" i="14"/>
  <c r="P33" i="14"/>
  <c r="O33" i="14"/>
  <c r="M33" i="14"/>
  <c r="L33" i="14"/>
  <c r="J33" i="14"/>
  <c r="I33" i="14"/>
  <c r="G33" i="14"/>
  <c r="F33" i="14"/>
  <c r="AH32" i="14"/>
  <c r="AG32" i="14"/>
  <c r="AE32" i="14"/>
  <c r="AD32" i="14"/>
  <c r="AB32" i="14"/>
  <c r="AA32" i="14"/>
  <c r="Y32" i="14"/>
  <c r="X32" i="14"/>
  <c r="V32" i="14"/>
  <c r="U32" i="14"/>
  <c r="S32" i="14"/>
  <c r="R32" i="14"/>
  <c r="P32" i="14"/>
  <c r="O32" i="14"/>
  <c r="M32" i="14"/>
  <c r="L32" i="14"/>
  <c r="J32" i="14"/>
  <c r="I32" i="14"/>
  <c r="G32" i="14"/>
  <c r="F32" i="14"/>
  <c r="AH31" i="14"/>
  <c r="AG31" i="14"/>
  <c r="AE31" i="14"/>
  <c r="AD31" i="14"/>
  <c r="AB31" i="14"/>
  <c r="AA31" i="14"/>
  <c r="Y31" i="14"/>
  <c r="X31" i="14"/>
  <c r="V31" i="14"/>
  <c r="U31" i="14"/>
  <c r="S31" i="14"/>
  <c r="R31" i="14"/>
  <c r="P31" i="14"/>
  <c r="O31" i="14"/>
  <c r="M31" i="14"/>
  <c r="L31" i="14"/>
  <c r="J31" i="14"/>
  <c r="I31" i="14"/>
  <c r="G31" i="14"/>
  <c r="F31" i="14"/>
  <c r="AH30" i="14"/>
  <c r="AG30" i="14"/>
  <c r="AE30" i="14"/>
  <c r="AD30" i="14"/>
  <c r="AB30" i="14"/>
  <c r="AA30" i="14"/>
  <c r="Y30" i="14"/>
  <c r="X30" i="14"/>
  <c r="V30" i="14"/>
  <c r="U30" i="14"/>
  <c r="S30" i="14"/>
  <c r="R30" i="14"/>
  <c r="P30" i="14"/>
  <c r="O30" i="14"/>
  <c r="M30" i="14"/>
  <c r="L30" i="14"/>
  <c r="J30" i="14"/>
  <c r="I30" i="14"/>
  <c r="G30" i="14"/>
  <c r="F30" i="14"/>
  <c r="AH29" i="14"/>
  <c r="AG29" i="14"/>
  <c r="AE29" i="14"/>
  <c r="AD29" i="14"/>
  <c r="AB29" i="14"/>
  <c r="AA29" i="14"/>
  <c r="Y29" i="14"/>
  <c r="X29" i="14"/>
  <c r="V29" i="14"/>
  <c r="U29" i="14"/>
  <c r="S29" i="14"/>
  <c r="R29" i="14"/>
  <c r="P29" i="14"/>
  <c r="O29" i="14"/>
  <c r="M29" i="14"/>
  <c r="L29" i="14"/>
  <c r="J29" i="14"/>
  <c r="I29" i="14"/>
  <c r="G29" i="14"/>
  <c r="F29" i="14"/>
  <c r="AH28" i="14"/>
  <c r="AG28" i="14"/>
  <c r="AE28" i="14"/>
  <c r="AD28" i="14"/>
  <c r="AB28" i="14"/>
  <c r="AA28" i="14"/>
  <c r="Y28" i="14"/>
  <c r="X28" i="14"/>
  <c r="V28" i="14"/>
  <c r="U28" i="14"/>
  <c r="S28" i="14"/>
  <c r="R28" i="14"/>
  <c r="P28" i="14"/>
  <c r="O28" i="14"/>
  <c r="M28" i="14"/>
  <c r="L28" i="14"/>
  <c r="J28" i="14"/>
  <c r="I28" i="14"/>
  <c r="G28" i="14"/>
  <c r="F28" i="14"/>
  <c r="AH27" i="14"/>
  <c r="AG27" i="14"/>
  <c r="AE27" i="14"/>
  <c r="AD27" i="14"/>
  <c r="AB27" i="14"/>
  <c r="AA27" i="14"/>
  <c r="Y27" i="14"/>
  <c r="X27" i="14"/>
  <c r="V27" i="14"/>
  <c r="U27" i="14"/>
  <c r="S27" i="14"/>
  <c r="R27" i="14"/>
  <c r="P27" i="14"/>
  <c r="O27" i="14"/>
  <c r="M27" i="14"/>
  <c r="L27" i="14"/>
  <c r="J27" i="14"/>
  <c r="I27" i="14"/>
  <c r="G27" i="14"/>
  <c r="F27" i="14"/>
  <c r="AH26" i="14"/>
  <c r="AG26" i="14"/>
  <c r="AE26" i="14"/>
  <c r="AD26" i="14"/>
  <c r="AB26" i="14"/>
  <c r="AA26" i="14"/>
  <c r="Y26" i="14"/>
  <c r="X26" i="14"/>
  <c r="V26" i="14"/>
  <c r="U26" i="14"/>
  <c r="S26" i="14"/>
  <c r="R26" i="14"/>
  <c r="P26" i="14"/>
  <c r="O26" i="14"/>
  <c r="M26" i="14"/>
  <c r="L26" i="14"/>
  <c r="J26" i="14"/>
  <c r="I26" i="14"/>
  <c r="G26" i="14"/>
  <c r="F26" i="14"/>
  <c r="AH25" i="14"/>
  <c r="AG25" i="14"/>
  <c r="AE25" i="14"/>
  <c r="AD25" i="14"/>
  <c r="AB25" i="14"/>
  <c r="AA25" i="14"/>
  <c r="Y25" i="14"/>
  <c r="X25" i="14"/>
  <c r="V25" i="14"/>
  <c r="U25" i="14"/>
  <c r="S25" i="14"/>
  <c r="R25" i="14"/>
  <c r="P25" i="14"/>
  <c r="O25" i="14"/>
  <c r="M25" i="14"/>
  <c r="L25" i="14"/>
  <c r="J25" i="14"/>
  <c r="I25" i="14"/>
  <c r="G25" i="14"/>
  <c r="F25" i="14"/>
  <c r="AH24" i="14"/>
  <c r="AG24" i="14"/>
  <c r="AE24" i="14"/>
  <c r="AD24" i="14"/>
  <c r="AB24" i="14"/>
  <c r="AA24" i="14"/>
  <c r="Y24" i="14"/>
  <c r="X24" i="14"/>
  <c r="V24" i="14"/>
  <c r="U24" i="14"/>
  <c r="S24" i="14"/>
  <c r="R24" i="14"/>
  <c r="P24" i="14"/>
  <c r="O24" i="14"/>
  <c r="M24" i="14"/>
  <c r="L24" i="14"/>
  <c r="J24" i="14"/>
  <c r="I24" i="14"/>
  <c r="G24" i="14"/>
  <c r="F24" i="14"/>
  <c r="L38" i="7"/>
  <c r="AH23" i="14"/>
  <c r="AG23" i="14"/>
  <c r="K38" i="7"/>
  <c r="AE23" i="14"/>
  <c r="AD23" i="14"/>
  <c r="J38" i="7"/>
  <c r="AB23" i="14"/>
  <c r="AA23" i="14"/>
  <c r="I38" i="7"/>
  <c r="Y23" i="14"/>
  <c r="X23" i="14"/>
  <c r="H38" i="7"/>
  <c r="V23" i="14"/>
  <c r="U23" i="14"/>
  <c r="G38" i="7"/>
  <c r="S23" i="14"/>
  <c r="R23" i="14"/>
  <c r="F38" i="7"/>
  <c r="P23" i="14"/>
  <c r="O23" i="14"/>
  <c r="E38" i="7"/>
  <c r="M23" i="14"/>
  <c r="L23" i="14"/>
  <c r="D38" i="7"/>
  <c r="J23" i="14"/>
  <c r="I23" i="14"/>
  <c r="C38" i="7"/>
  <c r="G23" i="14"/>
  <c r="F23" i="14"/>
  <c r="AH18" i="14"/>
  <c r="AG18" i="14"/>
  <c r="AE18" i="14"/>
  <c r="AD18" i="14"/>
  <c r="AB18" i="14"/>
  <c r="AA18" i="14"/>
  <c r="Y18" i="14"/>
  <c r="X18" i="14"/>
  <c r="V18" i="14"/>
  <c r="U18" i="14"/>
  <c r="S18" i="14"/>
  <c r="R18" i="14"/>
  <c r="P18" i="14"/>
  <c r="O18" i="14"/>
  <c r="M18" i="14"/>
  <c r="L18" i="14"/>
  <c r="J18" i="14"/>
  <c r="I18" i="14"/>
  <c r="G18" i="14"/>
  <c r="F18" i="14"/>
  <c r="AH17" i="14"/>
  <c r="AG17" i="14"/>
  <c r="AE17" i="14"/>
  <c r="AD17" i="14"/>
  <c r="AB17" i="14"/>
  <c r="AA17" i="14"/>
  <c r="Y17" i="14"/>
  <c r="X17" i="14"/>
  <c r="V17" i="14"/>
  <c r="U17" i="14"/>
  <c r="S17" i="14"/>
  <c r="R17" i="14"/>
  <c r="P17" i="14"/>
  <c r="O17" i="14"/>
  <c r="M17" i="14"/>
  <c r="L17" i="14"/>
  <c r="J17" i="14"/>
  <c r="I17" i="14"/>
  <c r="G17" i="14"/>
  <c r="F17" i="14"/>
  <c r="AH15" i="14"/>
  <c r="AG15" i="14"/>
  <c r="AE15" i="14"/>
  <c r="AD15" i="14"/>
  <c r="AB15" i="14"/>
  <c r="AA15" i="14"/>
  <c r="Y15" i="14"/>
  <c r="X15" i="14"/>
  <c r="V15" i="14"/>
  <c r="U15" i="14"/>
  <c r="S15" i="14"/>
  <c r="R15" i="14"/>
  <c r="P15" i="14"/>
  <c r="O15" i="14"/>
  <c r="M15" i="14"/>
  <c r="L15" i="14"/>
  <c r="J15" i="14"/>
  <c r="I15" i="14"/>
  <c r="G15" i="14"/>
  <c r="F15" i="14"/>
  <c r="BB38" i="2"/>
  <c r="AF34" i="14"/>
  <c r="AH12" i="14"/>
  <c r="AH34" i="14"/>
  <c r="AG12" i="14"/>
  <c r="AG34" i="14"/>
  <c r="AW38" i="2"/>
  <c r="AC34" i="14"/>
  <c r="AE12" i="14"/>
  <c r="AE34" i="14"/>
  <c r="AD12" i="14"/>
  <c r="AD34" i="14"/>
  <c r="AR38" i="2"/>
  <c r="Z34" i="14"/>
  <c r="AB12" i="14"/>
  <c r="AB34" i="14"/>
  <c r="AA12" i="14"/>
  <c r="AA34" i="14"/>
  <c r="AM38" i="2"/>
  <c r="W34" i="14"/>
  <c r="Y12" i="14"/>
  <c r="Y34" i="14"/>
  <c r="X12" i="14"/>
  <c r="X34" i="14"/>
  <c r="AH38" i="2"/>
  <c r="T34" i="14"/>
  <c r="V12" i="14"/>
  <c r="V34" i="14"/>
  <c r="U12" i="14"/>
  <c r="U34" i="14"/>
  <c r="AC38" i="2"/>
  <c r="Q34" i="14"/>
  <c r="S12" i="14"/>
  <c r="S34" i="14"/>
  <c r="R12" i="14"/>
  <c r="R34" i="14"/>
  <c r="X38" i="2"/>
  <c r="N34" i="14"/>
  <c r="P12" i="14"/>
  <c r="P34" i="14"/>
  <c r="O12" i="14"/>
  <c r="O34" i="14"/>
  <c r="S38" i="2"/>
  <c r="K34" i="14"/>
  <c r="M12" i="14"/>
  <c r="M34" i="14"/>
  <c r="L12" i="14"/>
  <c r="L34" i="14"/>
  <c r="N38" i="2"/>
  <c r="H34" i="14"/>
  <c r="J12" i="14"/>
  <c r="J34" i="14"/>
  <c r="I12" i="14"/>
  <c r="I34" i="14"/>
  <c r="G12" i="14"/>
  <c r="F12" i="14"/>
  <c r="AH10" i="14"/>
  <c r="AG10" i="14"/>
  <c r="AE10" i="14"/>
  <c r="AD10" i="14"/>
  <c r="AB10" i="14"/>
  <c r="AA10" i="14"/>
  <c r="Y10" i="14"/>
  <c r="X10" i="14"/>
  <c r="V10" i="14"/>
  <c r="U10" i="14"/>
  <c r="S10" i="14"/>
  <c r="R10" i="14"/>
  <c r="P10" i="14"/>
  <c r="O10" i="14"/>
  <c r="M10" i="14"/>
  <c r="L10" i="14"/>
  <c r="J10" i="14"/>
  <c r="I10" i="14"/>
  <c r="G10" i="14"/>
  <c r="F10" i="14"/>
  <c r="AF11" i="14"/>
  <c r="AH9" i="14"/>
  <c r="AH11" i="14"/>
  <c r="AG9" i="14"/>
  <c r="AG11" i="14"/>
  <c r="AC11" i="14"/>
  <c r="AE9" i="14"/>
  <c r="AE11" i="14"/>
  <c r="AD9" i="14"/>
  <c r="AD11" i="14"/>
  <c r="Z11" i="14"/>
  <c r="AB9" i="14"/>
  <c r="AB11" i="14"/>
  <c r="AA9" i="14"/>
  <c r="AA11" i="14"/>
  <c r="W11" i="14"/>
  <c r="Y9" i="14"/>
  <c r="Y11" i="14"/>
  <c r="X9" i="14"/>
  <c r="X11" i="14"/>
  <c r="T11" i="14"/>
  <c r="V9" i="14"/>
  <c r="V11" i="14"/>
  <c r="U9" i="14"/>
  <c r="U11" i="14"/>
  <c r="Q11" i="14"/>
  <c r="S9" i="14"/>
  <c r="S11" i="14"/>
  <c r="R9" i="14"/>
  <c r="R11" i="14"/>
  <c r="N11" i="14"/>
  <c r="P9" i="14"/>
  <c r="P11" i="14"/>
  <c r="O9" i="14"/>
  <c r="O11" i="14"/>
  <c r="K11" i="14"/>
  <c r="M9" i="14"/>
  <c r="M11" i="14"/>
  <c r="L9" i="14"/>
  <c r="L11" i="14"/>
  <c r="H11" i="14"/>
  <c r="J9" i="14"/>
  <c r="J11" i="14"/>
  <c r="I9" i="14"/>
  <c r="I11" i="14"/>
  <c r="AH7" i="14"/>
  <c r="AG7" i="14"/>
  <c r="AE7" i="14"/>
  <c r="AD7" i="14"/>
  <c r="AB7" i="14"/>
  <c r="AA7" i="14"/>
  <c r="Y7" i="14"/>
  <c r="X7" i="14"/>
  <c r="V7" i="14"/>
  <c r="U7" i="14"/>
  <c r="S7" i="14"/>
  <c r="R7" i="14"/>
  <c r="P7" i="14"/>
  <c r="O7" i="14"/>
  <c r="M7" i="14"/>
  <c r="L7" i="14"/>
  <c r="J7" i="14"/>
  <c r="I7" i="14"/>
  <c r="G7" i="14"/>
  <c r="F7" i="14"/>
  <c r="AH6" i="14"/>
  <c r="AG6" i="14"/>
  <c r="AE6" i="14"/>
  <c r="AD6" i="14"/>
  <c r="AB6" i="14"/>
  <c r="AA6" i="14"/>
  <c r="Y6" i="14"/>
  <c r="X6" i="14"/>
  <c r="V6" i="14"/>
  <c r="U6" i="14"/>
  <c r="S6" i="14"/>
  <c r="R6" i="14"/>
  <c r="P6" i="14"/>
  <c r="O6" i="14"/>
  <c r="M6" i="14"/>
  <c r="L6" i="14"/>
  <c r="J6" i="14"/>
  <c r="I6" i="14"/>
  <c r="G6" i="14"/>
  <c r="F6" i="14"/>
  <c r="BB40" i="2"/>
  <c r="AF8" i="14"/>
  <c r="AF36" i="14"/>
  <c r="AH5" i="14"/>
  <c r="AH8" i="14"/>
  <c r="AH36" i="14"/>
  <c r="AG5" i="14"/>
  <c r="AG8" i="14"/>
  <c r="AG36" i="14"/>
  <c r="AW40" i="2"/>
  <c r="AC8" i="14"/>
  <c r="AC36" i="14"/>
  <c r="AE5" i="14"/>
  <c r="AE8" i="14"/>
  <c r="AE36" i="14"/>
  <c r="AD5" i="14"/>
  <c r="AD8" i="14"/>
  <c r="AD36" i="14"/>
  <c r="AR40" i="2"/>
  <c r="Z8" i="14"/>
  <c r="Z36" i="14"/>
  <c r="AB5" i="14"/>
  <c r="AB8" i="14"/>
  <c r="AB36" i="14"/>
  <c r="AA5" i="14"/>
  <c r="AA8" i="14"/>
  <c r="AA36" i="14"/>
  <c r="AM40" i="2"/>
  <c r="W8" i="14"/>
  <c r="W36" i="14"/>
  <c r="Y5" i="14"/>
  <c r="Y8" i="14"/>
  <c r="Y36" i="14"/>
  <c r="X5" i="14"/>
  <c r="X8" i="14"/>
  <c r="X36" i="14"/>
  <c r="AH40" i="2"/>
  <c r="T8" i="14"/>
  <c r="T36" i="14"/>
  <c r="V5" i="14"/>
  <c r="V8" i="14"/>
  <c r="V36" i="14"/>
  <c r="U5" i="14"/>
  <c r="U8" i="14"/>
  <c r="U36" i="14"/>
  <c r="AC40" i="2"/>
  <c r="Q8" i="14"/>
  <c r="Q36" i="14"/>
  <c r="S5" i="14"/>
  <c r="S8" i="14"/>
  <c r="S36" i="14"/>
  <c r="R5" i="14"/>
  <c r="R8" i="14"/>
  <c r="R36" i="14"/>
  <c r="X40" i="2"/>
  <c r="N8" i="14"/>
  <c r="N36" i="14"/>
  <c r="P5" i="14"/>
  <c r="P8" i="14"/>
  <c r="P36" i="14"/>
  <c r="O5" i="14"/>
  <c r="O8" i="14"/>
  <c r="O36" i="14"/>
  <c r="S40" i="2"/>
  <c r="K8" i="14"/>
  <c r="K36" i="14"/>
  <c r="M5" i="14"/>
  <c r="M8" i="14"/>
  <c r="M36" i="14"/>
  <c r="L5" i="14"/>
  <c r="L8" i="14"/>
  <c r="L36" i="14"/>
  <c r="N40" i="2"/>
  <c r="H8" i="14"/>
  <c r="H36" i="14"/>
  <c r="J5" i="14"/>
  <c r="J8" i="14"/>
  <c r="J36" i="14"/>
  <c r="I5" i="14"/>
  <c r="I8" i="14"/>
  <c r="I36" i="14"/>
  <c r="E8" i="14"/>
  <c r="G5" i="14"/>
  <c r="G8" i="14"/>
  <c r="F5" i="14"/>
  <c r="F8" i="14"/>
  <c r="D3" i="7"/>
  <c r="D6" i="7"/>
  <c r="D7" i="7"/>
  <c r="D8" i="7"/>
  <c r="D10" i="7"/>
  <c r="D11" i="7"/>
  <c r="D15" i="7"/>
  <c r="D17" i="7"/>
  <c r="D16" i="7"/>
  <c r="D14" i="7"/>
  <c r="D13" i="7"/>
  <c r="D9" i="7"/>
  <c r="D5" i="7"/>
  <c r="E3" i="7"/>
  <c r="E6" i="7"/>
  <c r="E7" i="7"/>
  <c r="E8" i="7"/>
  <c r="E10" i="7"/>
  <c r="E11" i="7"/>
  <c r="E15" i="7"/>
  <c r="E17" i="7"/>
  <c r="E16" i="7"/>
  <c r="E14" i="7"/>
  <c r="E13" i="7"/>
  <c r="E9" i="7"/>
  <c r="E5" i="7"/>
  <c r="F3" i="7"/>
  <c r="F6" i="7"/>
  <c r="F7" i="7"/>
  <c r="F8" i="7"/>
  <c r="F10" i="7"/>
  <c r="F11" i="7"/>
  <c r="F15" i="7"/>
  <c r="F17" i="7"/>
  <c r="F16" i="7"/>
  <c r="F14" i="7"/>
  <c r="F13" i="7"/>
  <c r="F9" i="7"/>
  <c r="F5" i="7"/>
  <c r="G3" i="7"/>
  <c r="G6" i="7"/>
  <c r="G7" i="7"/>
  <c r="G8" i="7"/>
  <c r="G10" i="7"/>
  <c r="G11" i="7"/>
  <c r="G15" i="7"/>
  <c r="G17" i="7"/>
  <c r="G16" i="7"/>
  <c r="G14" i="7"/>
  <c r="G13" i="7"/>
  <c r="G9" i="7"/>
  <c r="G5" i="7"/>
  <c r="H3" i="7"/>
  <c r="H6" i="7"/>
  <c r="H7" i="7"/>
  <c r="H8" i="7"/>
  <c r="H10" i="7"/>
  <c r="H11" i="7"/>
  <c r="H15" i="7"/>
  <c r="H17" i="7"/>
  <c r="H16" i="7"/>
  <c r="H14" i="7"/>
  <c r="H13" i="7"/>
  <c r="H9" i="7"/>
  <c r="H5" i="7"/>
  <c r="I3" i="7"/>
  <c r="I6" i="7"/>
  <c r="I7" i="7"/>
  <c r="I8" i="7"/>
  <c r="I10" i="7"/>
  <c r="I11" i="7"/>
  <c r="I15" i="7"/>
  <c r="I17" i="7"/>
  <c r="I16" i="7"/>
  <c r="I14" i="7"/>
  <c r="I13" i="7"/>
  <c r="I9" i="7"/>
  <c r="I5" i="7"/>
  <c r="J3" i="7"/>
  <c r="J6" i="7"/>
  <c r="J7" i="7"/>
  <c r="J8" i="7"/>
  <c r="J10" i="7"/>
  <c r="J11" i="7"/>
  <c r="J15" i="7"/>
  <c r="J17" i="7"/>
  <c r="J16" i="7"/>
  <c r="J14" i="7"/>
  <c r="J13" i="7"/>
  <c r="J9" i="7"/>
  <c r="J5" i="7"/>
  <c r="K3" i="7"/>
  <c r="K6" i="7"/>
  <c r="K7" i="7"/>
  <c r="K8" i="7"/>
  <c r="K10" i="7"/>
  <c r="K11" i="7"/>
  <c r="K15" i="7"/>
  <c r="K17" i="7"/>
  <c r="K16" i="7"/>
  <c r="K14" i="7"/>
  <c r="K13" i="7"/>
  <c r="K9" i="7"/>
  <c r="K5" i="7"/>
  <c r="L3" i="7"/>
  <c r="L6" i="7"/>
  <c r="L7" i="7"/>
  <c r="L8" i="7"/>
  <c r="L10" i="7"/>
  <c r="L11" i="7"/>
  <c r="L15" i="7"/>
  <c r="L17" i="7"/>
  <c r="L16" i="7"/>
  <c r="L14" i="7"/>
  <c r="L13" i="7"/>
  <c r="L9" i="7"/>
  <c r="L5" i="7"/>
  <c r="D12" i="7"/>
  <c r="E12" i="7"/>
  <c r="F12" i="7"/>
  <c r="G12" i="7"/>
  <c r="H12" i="7"/>
  <c r="I12" i="7"/>
  <c r="J12" i="7"/>
  <c r="K12" i="7"/>
  <c r="L12" i="7"/>
  <c r="E14" i="14" l="1"/>
  <c r="I15" i="2"/>
  <c r="F9" i="14"/>
  <c r="F11" i="14" s="1"/>
  <c r="E11" i="14"/>
  <c r="G9" i="14"/>
  <c r="G11" i="14" s="1"/>
  <c r="I11" i="2"/>
  <c r="G36" i="14" l="1"/>
  <c r="G14" i="14"/>
  <c r="G34" i="14" s="1"/>
  <c r="F14" i="14"/>
  <c r="F34" i="14" s="1"/>
  <c r="F36" i="14" s="1"/>
  <c r="E34" i="14"/>
  <c r="E36" i="14" s="1"/>
  <c r="I38" i="2"/>
  <c r="I40" i="2" l="1"/>
  <c r="C12" i="7" s="1"/>
  <c r="C3" i="7" l="1"/>
  <c r="C16" i="7"/>
  <c r="C5" i="7"/>
  <c r="C6" i="7"/>
  <c r="C11" i="7"/>
  <c r="C14" i="7"/>
  <c r="C7" i="7"/>
  <c r="C15" i="7"/>
  <c r="C8" i="7"/>
  <c r="C17" i="7"/>
  <c r="C10" i="7"/>
  <c r="C13" i="7"/>
  <c r="C9" i="7"/>
</calcChain>
</file>

<file path=xl/sharedStrings.xml><?xml version="1.0" encoding="utf-8"?>
<sst xmlns="http://schemas.openxmlformats.org/spreadsheetml/2006/main" count="1012" uniqueCount="307">
  <si>
    <t>GUIDE D’UTILISATION DU BILAN GAZ À EFFET DE SERRE (GES) D’ISTERRE</t>
  </si>
  <si>
    <t>Onglet « Bilan GES ISTerre »</t>
  </si>
  <si>
    <t>Il n’y a rien à saisir dans cet onglet</t>
  </si>
  <si>
    <t>Pour les scopes 1 et 2 les émissions de GES concernent uniquement la combustion des énergies</t>
  </si>
  <si>
    <r>
      <rPr>
        <sz val="10"/>
        <color indexed="8"/>
        <rFont val="Arial"/>
        <family val="2"/>
      </rPr>
      <t>Pour le scope 1 les émissions de GES sont détaillées par gaz (CO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, CH</t>
    </r>
    <r>
      <rPr>
        <vertAlign val="sub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, N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O, autres gaz)</t>
    </r>
  </si>
  <si>
    <t>Les postes d’émissions du scope 3 sont détaillés en fonction des sources d’émissions</t>
  </si>
  <si>
    <t>Onglet « Synthèse consos annuelles »</t>
  </si>
  <si>
    <t>Les consommations proviennent des onglets de saisie des données</t>
  </si>
  <si>
    <t>Onglet « Facteurs d’émission »</t>
  </si>
  <si>
    <r>
      <rPr>
        <sz val="10"/>
        <color indexed="8"/>
        <rFont val="Arial"/>
        <family val="2"/>
      </rPr>
      <t>Les facteurs d’émissions proviennent de la Base Carbone® de l’ADEME (</t>
    </r>
    <r>
      <rPr>
        <u/>
        <sz val="10"/>
        <color indexed="8"/>
        <rFont val="Arial"/>
        <family val="2"/>
      </rPr>
      <t>http://www.bilans-ges.ademe.fr/</t>
    </r>
    <r>
      <rPr>
        <sz val="10"/>
        <color indexed="8"/>
        <rFont val="Arial"/>
        <family val="2"/>
      </rPr>
      <t>)</t>
    </r>
  </si>
  <si>
    <t>Il faut saisir chaque année les nouveaux facteurs d’émissions publiés ainsi que les incertitudes</t>
  </si>
  <si>
    <t>Onglet « Infos ISTerre »</t>
  </si>
  <si>
    <t>Les effectifs, les kilométrages des véhicules, les informations concernant le parc informatique ainsi que le nombre de climatiseurs utilisés doivent être complétés chaque année</t>
  </si>
  <si>
    <t>Onglet « Graphiques »</t>
  </si>
  <si>
    <t>Onglet « Ratios »</t>
  </si>
  <si>
    <t>Onglet « Consommation Gaz »</t>
  </si>
  <si>
    <t>Les consommations de gaz ainsi que les DJU sont à saisir chaque année</t>
  </si>
  <si>
    <t>Onglet « Consommation Électricité »</t>
  </si>
  <si>
    <t>Les consommations d’électricité sont à saisir chaque année</t>
  </si>
  <si>
    <t>Ne rien saisir dans le tableau « Synthèse des consommations électriques »</t>
  </si>
  <si>
    <t>Onglet « Serveurs informatiques »</t>
  </si>
  <si>
    <t>Partie « Serveurs externalisés » : Pour le stockage SUMMER : saisir chaque année la consommation électrique liée au stockage d’ISTerre et de RéSIF. Pour les serveurs physiques et virtuels : saisir chaque année la part d’utilisation ainsi que la consommation électrique totale du serveur</t>
  </si>
  <si>
    <t>Partie « Calculateurs externalisés » : saisir chaque année le nombre d’heures de calcul dans chaque centre de calcul ainsi que l’estimation moyenne d’une heure de calcul (qui peut différer en fonction du calculateur)</t>
  </si>
  <si>
    <t>Noeuds de calcul situés à ISTerre : saisir chaque année le nombre de machines ainsi que la consommation électrique moyenne d’un noeud de calcul</t>
  </si>
  <si>
    <t>Onglet « Synchrotrons »</t>
  </si>
  <si>
    <t>Saisir chaque année le nombre de « shifts » effectués dans chacun des synchrotrons</t>
  </si>
  <si>
    <t>Onglet « Incertitudes »</t>
  </si>
  <si>
    <t>BILAN DES ÉMISSIONS DE GAZ À EFFET DE SERRE D’ISTERRE</t>
  </si>
  <si>
    <t>Année de référence</t>
  </si>
  <si>
    <t>Catégories d’émissions</t>
  </si>
  <si>
    <t>N°</t>
  </si>
  <si>
    <t>Postes d’émissions</t>
  </si>
  <si>
    <t>2016</t>
  </si>
  <si>
    <t>2017</t>
  </si>
  <si>
    <t>2018</t>
  </si>
  <si>
    <t>2019</t>
  </si>
  <si>
    <t>2020</t>
  </si>
  <si>
    <t>2021</t>
  </si>
  <si>
    <t>2022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</si>
  <si>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</si>
  <si>
    <r>
      <rPr>
        <b/>
        <sz val="10"/>
        <color indexed="8"/>
        <rFont val="Arial"/>
        <family val="2"/>
      </rPr>
      <t>CH</t>
    </r>
    <r>
      <rPr>
        <b/>
        <vertAlign val="subscript"/>
        <sz val="10"/>
        <color indexed="8"/>
        <rFont val="Arial"/>
        <family val="2"/>
      </rPr>
      <t>4</t>
    </r>
  </si>
  <si>
    <r>
      <rPr>
        <b/>
        <sz val="10"/>
        <color indexed="8"/>
        <rFont val="Arial"/>
        <family val="2"/>
      </rPr>
      <t>N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O</t>
    </r>
  </si>
  <si>
    <t>Autres Gaz</t>
  </si>
  <si>
    <t>Total émissions GES</t>
  </si>
  <si>
    <r>
      <rPr>
        <b/>
        <sz val="10"/>
        <color indexed="8"/>
        <rFont val="Arial"/>
        <family val="2"/>
      </rPr>
      <t>Total émissions GES : eCO</t>
    </r>
    <r>
      <rPr>
        <b/>
        <vertAlign val="subscript"/>
        <sz val="10"/>
        <color indexed="8"/>
        <rFont val="Arial"/>
        <family val="2"/>
      </rPr>
      <t>2</t>
    </r>
  </si>
  <si>
    <r>
      <rPr>
        <i/>
        <sz val="10"/>
        <color indexed="8"/>
        <rFont val="Arial"/>
        <family val="2"/>
      </rPr>
      <t>en tonnes eCO</t>
    </r>
    <r>
      <rPr>
        <i/>
        <vertAlign val="subscript"/>
        <sz val="10"/>
        <color indexed="8"/>
        <rFont val="Arial"/>
        <family val="2"/>
      </rPr>
      <t>2</t>
    </r>
  </si>
  <si>
    <t>Scope 1 : émissions directes de GES</t>
  </si>
  <si>
    <t>Émissions directes des sources fixes de combustion</t>
  </si>
  <si>
    <t>Émissions directes des sources mobiles à moteur thermique</t>
  </si>
  <si>
    <t>Gazole</t>
  </si>
  <si>
    <t>Émissions directes fugitives</t>
  </si>
  <si>
    <t>Climatiseurs</t>
  </si>
  <si>
    <t>SOUS TOTAL SCOPE 1</t>
  </si>
  <si>
    <t>Scope 2 : émissions indirectes associées à l’énergie</t>
  </si>
  <si>
    <t>Émissions indirectes liées à la consommation d’électricité</t>
  </si>
  <si>
    <t>Electricité</t>
  </si>
  <si>
    <t>Emissions indirectes liées à la consommation de vapeur, chaleur ou froid</t>
  </si>
  <si>
    <t>Gaz Naturel</t>
  </si>
  <si>
    <t>SOUS TOTAL SCOPE 2</t>
  </si>
  <si>
    <t>Scope 3 : autres émissions indirectes de GES</t>
  </si>
  <si>
    <t>Emissions liées à l’énergie non incluses dans les catégories « émissions directes de GES » et « émissions indirectes de GES associées à l’énergie »</t>
  </si>
  <si>
    <t>Sous total poste 8</t>
  </si>
  <si>
    <t>Achats de produits ou services</t>
  </si>
  <si>
    <t>Electricité serveurs externalisés</t>
  </si>
  <si>
    <t>Electricité synchrotrons</t>
  </si>
  <si>
    <t>Sous total poste 9</t>
  </si>
  <si>
    <t>Immobilisation des biens</t>
  </si>
  <si>
    <t>Parc informatique</t>
  </si>
  <si>
    <t>Déplacements professionnels</t>
  </si>
  <si>
    <t>Voiture</t>
  </si>
  <si>
    <t>Avion long courrier (&gt;2500 km)</t>
  </si>
  <si>
    <t>Avion court et moyen courrier (&lt;2500 km)</t>
  </si>
  <si>
    <t>Train</t>
  </si>
  <si>
    <t>Bus</t>
  </si>
  <si>
    <t>Sous total poste 13</t>
  </si>
  <si>
    <t>Déplacements domicile travail</t>
  </si>
  <si>
    <t>Vélo électrique</t>
  </si>
  <si>
    <t>Trottinette électrique</t>
  </si>
  <si>
    <t>Deux roues motorisé</t>
  </si>
  <si>
    <t>Voiture essence</t>
  </si>
  <si>
    <t>Voiture diesel</t>
  </si>
  <si>
    <t>GPL</t>
  </si>
  <si>
    <t>Voiture électrique</t>
  </si>
  <si>
    <t>Voiture hybride</t>
  </si>
  <si>
    <t>Tramway</t>
  </si>
  <si>
    <t>Sous total poste 22</t>
  </si>
  <si>
    <t>SOUS TOTAL SCOPE 3</t>
  </si>
  <si>
    <r>
      <rPr>
        <b/>
        <sz val="10"/>
        <color indexed="8"/>
        <rFont val="Arial"/>
        <family val="2"/>
      </rPr>
      <t xml:space="preserve">Total des émissions de GES d’ISTerre (en tonnes </t>
    </r>
    <r>
      <rPr>
        <b/>
        <sz val="10"/>
        <color indexed="8"/>
        <rFont val="Arial"/>
        <family val="2"/>
      </rPr>
      <t>e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</si>
  <si>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t>SYNTHÈSE DES CONSOMMATIONS DES DIFFÉRENTES ACTIVITÉS ÉMETTRICES DE GES D’ISTERRE</t>
  </si>
  <si>
    <t>Catégories</t>
  </si>
  <si>
    <t>Type de consommation</t>
  </si>
  <si>
    <t>Unité</t>
  </si>
  <si>
    <t>Combustion de carburant des véhicules appartenants à ISTerre</t>
  </si>
  <si>
    <t>Litres gazole</t>
  </si>
  <si>
    <t>Consommation d’électricité d’ISTerre</t>
  </si>
  <si>
    <t>kWh</t>
  </si>
  <si>
    <t>Gaz Naturel de chauffage</t>
  </si>
  <si>
    <t>Consommation électrique des serveurs non localisés à ISTerre</t>
  </si>
  <si>
    <t>Consommation électrique des synchrotrons</t>
  </si>
  <si>
    <t>Ordinateurs portables</t>
  </si>
  <si>
    <t>Ordinateurs fixes</t>
  </si>
  <si>
    <t>Ecrans</t>
  </si>
  <si>
    <t>Photocopieurs</t>
  </si>
  <si>
    <t>Imprimantes laser</t>
  </si>
  <si>
    <t>km</t>
  </si>
  <si>
    <t>Avion long courrier</t>
  </si>
  <si>
    <t>Avion court et moyen courrier</t>
  </si>
  <si>
    <t>Litres</t>
  </si>
  <si>
    <t>FACTEURS D’ÉMISSIONS</t>
  </si>
  <si>
    <t>Facteur d’émission choisi</t>
  </si>
  <si>
    <t>Décomposition des valeurs</t>
  </si>
  <si>
    <t>Autre Gaz</t>
  </si>
  <si>
    <t>Conversion en eCO2</t>
  </si>
  <si>
    <t>Facteur (en tCO2e)</t>
  </si>
  <si>
    <t>Incertitude (%)</t>
  </si>
  <si>
    <t>Incertitude (tCO2e)</t>
  </si>
  <si>
    <t>Facteur</t>
  </si>
  <si>
    <t>Gazole routier</t>
  </si>
  <si>
    <t>Combustion</t>
  </si>
  <si>
    <t>kgCO2e/litre</t>
  </si>
  <si>
    <t>Climatisation à air, moyenne tous équipements confondus - fuite de fluide moyen</t>
  </si>
  <si>
    <t>kg/unité</t>
  </si>
  <si>
    <t>Electricité - usage : Autres (BTP. recherche. armée. etc.)</t>
  </si>
  <si>
    <t>Combustion à la centrale</t>
  </si>
  <si>
    <t>kgCO2e/kWh</t>
  </si>
  <si>
    <t xml:space="preserve"> kgCO2e/kWh PCI</t>
  </si>
  <si>
    <t>Amont</t>
  </si>
  <si>
    <t>Amont, transport et distribution (pertes)</t>
  </si>
  <si>
    <t>Electricité - mix moyen</t>
  </si>
  <si>
    <t>Amont, combustion, transport et distribution (pertes)</t>
  </si>
  <si>
    <t>Ordinateur - portable</t>
  </si>
  <si>
    <t>Energie (assemblage), énergie (mise en forme), intrants (matières premières), transport (approvisionnement, transport (distribution)</t>
  </si>
  <si>
    <t>kgCO2e/unité</t>
  </si>
  <si>
    <t>Ordinateur - fixe - haute performance</t>
  </si>
  <si>
    <t>Ecran - 23,8 pouces</t>
  </si>
  <si>
    <t>Imprimante - laser</t>
  </si>
  <si>
    <t>Amont, combustion et fabrication</t>
  </si>
  <si>
    <t>kgCO2e/km</t>
  </si>
  <si>
    <t>Avion - 180-250 sièges, trajet de 8000-9000 km</t>
  </si>
  <si>
    <t>Amont, combustion et émissions fugitives</t>
  </si>
  <si>
    <t>kgCO2e/passager.km</t>
  </si>
  <si>
    <t>Avion - 180-250 sièges, trajet de 0-1000 km</t>
  </si>
  <si>
    <t>Train - TGV</t>
  </si>
  <si>
    <t>Energie et amont</t>
  </si>
  <si>
    <t>Bus - Agglomération de + de 250 000 habitants</t>
  </si>
  <si>
    <t>Combustion et amont</t>
  </si>
  <si>
    <t>Voiture électrique - compact</t>
  </si>
  <si>
    <t>Voiture hybride full</t>
  </si>
  <si>
    <t>Train - TER</t>
  </si>
  <si>
    <t>INFORMATIONS LOCAUX ISTERRE GRENOBLE (BÂTIMENT OSUG-C)</t>
  </si>
  <si>
    <r>
      <rPr>
        <sz val="11"/>
        <color indexed="8"/>
        <rFont val="Arial"/>
        <family val="2"/>
      </rPr>
      <t>SHON (en 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</si>
  <si>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Arial"/>
        <family val="2"/>
      </rPr>
      <t>Surface de plancher (en 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</si>
  <si>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Arial"/>
        <family val="2"/>
      </rPr>
      <t>Surface Utile Brut (Très proche de la surface chauffée) (en 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 :</t>
    </r>
  </si>
  <si>
    <t>INFORMATIONS LOCAUX ISTERRE CHAMBÉRY</t>
  </si>
  <si>
    <r>
      <rPr>
        <b/>
        <sz val="11"/>
        <color indexed="8"/>
        <rFont val="Arial"/>
        <family val="2"/>
      </rPr>
      <t>Surfaces en m</t>
    </r>
    <r>
      <rPr>
        <b/>
        <vertAlign val="superscript"/>
        <sz val="11"/>
        <color indexed="8"/>
        <rFont val="Arial"/>
        <family val="2"/>
      </rPr>
      <t>2</t>
    </r>
  </si>
  <si>
    <t>Bâtiment Belledonne  8A - 8B</t>
  </si>
  <si>
    <t>Bâtiment Margériaz</t>
  </si>
  <si>
    <t>Surface totale</t>
  </si>
  <si>
    <t>Surface ISTerre</t>
  </si>
  <si>
    <t>Personnels ISTerre (Grenoble + Chambéry)</t>
  </si>
  <si>
    <t>Catégorie</t>
  </si>
  <si>
    <t>Chercheur.e.s / enseignant.e.s-chercheur.e.s</t>
  </si>
  <si>
    <t>Personnels administratifs et équipes techniques</t>
  </si>
  <si>
    <t>Doctorant.e.s / Post-doctorant.e.s</t>
  </si>
  <si>
    <t>TOTAL</t>
  </si>
  <si>
    <t>Total du personnel au 31/12 de l’année correspondante</t>
  </si>
  <si>
    <t>Véhicules appartenant à ISTerre pour Grenoble et appartenant à l’UFR SceM pour Chambéry</t>
  </si>
  <si>
    <t>Modèle du véhicule et année de fabrication</t>
  </si>
  <si>
    <t>Type de véhicule</t>
  </si>
  <si>
    <t>Motorisation</t>
  </si>
  <si>
    <t>Consommation en litre par km</t>
  </si>
  <si>
    <t>Nombre de kilomètres 2016</t>
  </si>
  <si>
    <t>Nombre de kilomètres 2017</t>
  </si>
  <si>
    <t>Nombre de kilomètres 2018</t>
  </si>
  <si>
    <t>Nombre de kilomètres 2019</t>
  </si>
  <si>
    <t>Nombre de kilomètres 2020</t>
  </si>
  <si>
    <t>Nombre de kilomètres 2021</t>
  </si>
  <si>
    <t>Nombre de kilomètres 2022</t>
  </si>
  <si>
    <t>Nombre de kilomètres 2023</t>
  </si>
  <si>
    <t>Nombre de kilomètres 2024</t>
  </si>
  <si>
    <t>Nombre de kilomètres 2025</t>
  </si>
  <si>
    <t>Ranger Ford - 2016 (Grenoble)</t>
  </si>
  <si>
    <t>4*4</t>
  </si>
  <si>
    <t>Diesel</t>
  </si>
  <si>
    <t>Partner tepee - 2009 (Grenoble)</t>
  </si>
  <si>
    <t>Normal</t>
  </si>
  <si>
    <t>Dangel Berlingo - 2011 (Grenoble)</t>
  </si>
  <si>
    <t>307 Break - 2007 (Grenoble)</t>
  </si>
  <si>
    <t>Berlingo (Chambéry)</t>
  </si>
  <si>
    <t>Kangoo (Chambéry)</t>
  </si>
  <si>
    <t>Nombre de PC portable achetés durant l’année</t>
  </si>
  <si>
    <t>Nombre de PC fixe achetés durant l’année</t>
  </si>
  <si>
    <t>Nombre d’écrans achetés durant l’année</t>
  </si>
  <si>
    <t>Nombre de photocopieurs</t>
  </si>
  <si>
    <t>Amortissement sur 5 ans des photocopieurs</t>
  </si>
  <si>
    <t>Nombre d’imprimantes</t>
  </si>
  <si>
    <t>Amortissement sur 5 ans des imprimantes</t>
  </si>
  <si>
    <t>Nombre de climatiseurs</t>
  </si>
  <si>
    <t>Gaz réfrigérant</t>
  </si>
  <si>
    <t>R407c</t>
  </si>
  <si>
    <t>Pouvoir de réchauffement global (PRG)</t>
  </si>
  <si>
    <t>Ratios</t>
  </si>
  <si>
    <t>Emissions de GES / personne</t>
  </si>
  <si>
    <r>
      <rPr>
        <b/>
        <sz val="10"/>
        <color indexed="8"/>
        <rFont val="Arial"/>
        <family val="2"/>
      </rPr>
      <t>t eqCO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/personne</t>
    </r>
  </si>
  <si>
    <t>Part du scope 1 dans émissions totales</t>
  </si>
  <si>
    <t>Part du scope 2 dans émissions totales</t>
  </si>
  <si>
    <t>Part du scope 3 dans émissions totales</t>
  </si>
  <si>
    <t>Emissions liées à l’énergie non incluse dans les catégories « émissions directes de GES » et « émissions indirectes de GES associées à l’énergie »</t>
  </si>
  <si>
    <r>
      <rPr>
        <b/>
        <sz val="10"/>
        <color indexed="8"/>
        <rFont val="Arial"/>
        <family val="2"/>
      </rPr>
      <t>Consommation électrique par m</t>
    </r>
    <r>
      <rPr>
        <b/>
        <vertAlign val="superscript"/>
        <sz val="10"/>
        <color indexed="8"/>
        <rFont val="Arial"/>
        <family val="2"/>
      </rPr>
      <t>2</t>
    </r>
  </si>
  <si>
    <t>kWh/m2</t>
  </si>
  <si>
    <r>
      <rPr>
        <b/>
        <sz val="10"/>
        <color indexed="8"/>
        <rFont val="Arial"/>
        <family val="2"/>
      </rPr>
      <t>Consommation de gaz par m</t>
    </r>
    <r>
      <rPr>
        <b/>
        <vertAlign val="superscript"/>
        <sz val="10"/>
        <color indexed="8"/>
        <rFont val="Arial"/>
        <family val="2"/>
      </rPr>
      <t>2</t>
    </r>
  </si>
  <si>
    <t>Consommation de gaz corrigée par les DJU chauffage</t>
  </si>
  <si>
    <t>Part des différentes consommations électriques dans la consommation électrique totale</t>
  </si>
  <si>
    <t>Bâtiment OSUG C (ISTerre Grenoble)</t>
  </si>
  <si>
    <t>Bâtiments ISTerre Chambéry</t>
  </si>
  <si>
    <t>Stations sismologiques</t>
  </si>
  <si>
    <t>Serveurs externalisés</t>
  </si>
  <si>
    <t>Synchrotrons</t>
  </si>
  <si>
    <t>km/personne</t>
  </si>
  <si>
    <t>Avion longs courriers</t>
  </si>
  <si>
    <t>Avion courts et moyens courriers</t>
  </si>
  <si>
    <t>Parts des différents modes de transports dans les émissions de GES liées aux déplacements domicile travail</t>
  </si>
  <si>
    <t>OSUG-C (ISTERRE GRENOBLE) CONSOMMATION GAZ (EN KWH EF)</t>
  </si>
  <si>
    <t>Mois</t>
  </si>
  <si>
    <t>2023</t>
  </si>
  <si>
    <t>2024</t>
  </si>
  <si>
    <t>2025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</si>
  <si>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</si>
  <si>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</si>
  <si>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</si>
  <si>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</si>
  <si>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</si>
  <si>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</si>
  <si>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</si>
  <si>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</si>
  <si>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</si>
  <si>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</si>
  <si>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</si>
  <si>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</si>
  <si>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Degré jour unifié chauffage (DJU)</t>
  </si>
  <si>
    <t>CONSOMMATION GAZ ISTERRE CHAMBÉRY (EN KWH)</t>
  </si>
  <si>
    <t>Bâtiment</t>
  </si>
  <si>
    <t>Bâtiment Belledonne 8A-8B</t>
  </si>
  <si>
    <t>Bâtiment Margeriaz</t>
  </si>
  <si>
    <t>ISTerre Bâtiment Belledonne 8A-8B</t>
  </si>
  <si>
    <t>ISTerre Bâtiment Margeriaz</t>
  </si>
  <si>
    <t>Synthèse des consommations électriques (en kWh)</t>
  </si>
  <si>
    <t>Bâtiment OSUG-C (ISTerre Grenoble)</t>
  </si>
  <si>
    <t>OSUG-C (ISTERRE GRENOBLE) CONSOMMATION ELECTRICITÉ (EN KWH EF)</t>
  </si>
  <si>
    <t>CONSOMMATION ELECTRICITÉ ISTERRE CHAMBÉRY (EN KWH)</t>
  </si>
  <si>
    <t>CONSOMMATION ÉLECTRIQUE STATIONS SISMOLOGIQUES</t>
  </si>
  <si>
    <t>Puissance (en W)</t>
  </si>
  <si>
    <t>Nombre de stations (ne pas prendre en compte les stations fonctionnant avec l’énergie solaire)</t>
  </si>
  <si>
    <t>Consommation électrique totale annuelle des stations (en kWh)</t>
  </si>
  <si>
    <t>CONSOMMATION ÉLECTRIQUE TOTALE LIÉES AUX SERVEURS INFORMATIQUES</t>
  </si>
  <si>
    <t>SERVEURS EXTERNALISÉS</t>
  </si>
  <si>
    <t>Consommation électrique (en kWh)</t>
  </si>
  <si>
    <t>ISTerre</t>
  </si>
  <si>
    <t>Serveurs de stockage Summer</t>
  </si>
  <si>
    <t>RéSIF</t>
  </si>
  <si>
    <t>Serveurs virtuels Winter</t>
  </si>
  <si>
    <t>Serveurs physiques Simsu &amp; Gricad</t>
  </si>
  <si>
    <t>SOUS TOTAL CONSOMMATION ÉLECTRIQUE (en kWh)</t>
  </si>
  <si>
    <t>CALCULATEURS EXTERNALISÉS</t>
  </si>
  <si>
    <t>Nombre total d’heures de calcul</t>
  </si>
  <si>
    <t>Consommation électrique d’une heure de calcul (en kWh)</t>
  </si>
  <si>
    <t>Consommation électrique totale (en kWh)</t>
  </si>
  <si>
    <t>Serveurs de calculs régionaux</t>
  </si>
  <si>
    <t>Ciment</t>
  </si>
  <si>
    <t>Serveurs de calculs nationaux</t>
  </si>
  <si>
    <t>CINES</t>
  </si>
  <si>
    <t>IDRIS</t>
  </si>
  <si>
    <t>TGCC</t>
  </si>
  <si>
    <t>TOTAL CONSOMMATION ÉLECTRIQUE SERVEURS EXTERNALISÉS (en kWh)</t>
  </si>
  <si>
    <t>Données déjà prises en compte dans la consommation électrique totale d’ISTerre</t>
  </si>
  <si>
    <t>Consommation journalière moyenne (en kWh)</t>
  </si>
  <si>
    <t>Nombre de machines</t>
  </si>
  <si>
    <t>Consommation totale annuelle (en kWh)</t>
  </si>
  <si>
    <t>Noeuds de calcul localisés à ISTerre</t>
  </si>
  <si>
    <t>CONSOMMATION ÉLECTRIQUE TOTAL SERVEURS ISTERRE (en kWh)</t>
  </si>
  <si>
    <t>CONSOMMATION ÉLECTRIQUE SYNCHROTRONS</t>
  </si>
  <si>
    <t>Nom du synchrotron</t>
  </si>
  <si>
    <t>Grenoble</t>
  </si>
  <si>
    <t>Soleil (Paris)</t>
  </si>
  <si>
    <t>Alba (Barcelone)</t>
  </si>
  <si>
    <t>Diamond (Angleterre)</t>
  </si>
  <si>
    <t>Autres</t>
  </si>
  <si>
    <t>Total</t>
  </si>
  <si>
    <t>Nombre de shifts ISTerre</t>
  </si>
  <si>
    <t>Consommation électrique d’un shift (en kWh)</t>
  </si>
  <si>
    <t>Consommation électrique d’ISTerre totale (en kWh)</t>
  </si>
  <si>
    <t>Déplacements domicile - travail : total de kilomètres par année et par mode de transport</t>
  </si>
  <si>
    <t>À vélo ou à pied</t>
  </si>
  <si>
    <t>Vélo à assistance électrique</t>
  </si>
  <si>
    <t>En deux roues motorisé (moto, scooter, ...)</t>
  </si>
  <si>
    <t>Essence</t>
  </si>
  <si>
    <t>Hybride</t>
  </si>
  <si>
    <t>Déplacements professionnels : total de kilomètres par année et par mode de transport</t>
  </si>
  <si>
    <t>Avion court ou moyen courrier</t>
  </si>
  <si>
    <t>Bus (navette aéroport)</t>
  </si>
  <si>
    <t>INCERTITUDES</t>
  </si>
  <si>
    <t>Incertitude basse</t>
  </si>
  <si>
    <t>Incertitude haute</t>
  </si>
  <si>
    <t>Tonnes eCO2</t>
  </si>
  <si>
    <t>Gaz naturel</t>
  </si>
  <si>
    <t>Achats de produits et services</t>
  </si>
  <si>
    <t>Electricité synchrotron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</si>
</sst>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%"/>
    <numFmt numFmtId="166" formatCode="#,##0.0000"/>
    <numFmt numFmtId="167" formatCode="#,##0%"/>
    <numFmt numFmtId="168" formatCode="#,##0.0"/>
    <numFmt numFmtId="169" formatCode="#,##0.00%"/>
    <numFmt numFmtId="170" formatCode="0.00000"/>
  </numFmts>
  <fonts count="19">
    <font>
      <sz val="10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Helvetica Neue"/>
    </font>
    <font>
      <b/>
      <vertAlign val="subscript"/>
      <sz val="10"/>
      <color indexed="8"/>
      <name val="Arial"/>
      <family val="2"/>
    </font>
    <font>
      <i/>
      <sz val="10"/>
      <color indexed="8"/>
      <name val="Arial"/>
      <family val="2"/>
    </font>
    <font>
      <i/>
      <vertAlign val="subscript"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4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5"/>
      <color indexed="8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27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47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47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47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47"/>
      </bottom>
      <diagonal/>
    </border>
    <border>
      <left style="medium">
        <color indexed="8"/>
      </left>
      <right style="medium">
        <color indexed="8"/>
      </right>
      <top style="thin">
        <color indexed="47"/>
      </top>
      <bottom style="thin">
        <color indexed="47"/>
      </bottom>
      <diagonal/>
    </border>
    <border>
      <left style="medium">
        <color indexed="8"/>
      </left>
      <right style="thin">
        <color indexed="8"/>
      </right>
      <top style="thin">
        <color indexed="47"/>
      </top>
      <bottom style="thin">
        <color indexed="47"/>
      </bottom>
      <diagonal/>
    </border>
    <border>
      <left style="thin">
        <color indexed="8"/>
      </left>
      <right style="thin">
        <color indexed="8"/>
      </right>
      <top style="thin">
        <color indexed="47"/>
      </top>
      <bottom style="thin">
        <color indexed="47"/>
      </bottom>
      <diagonal/>
    </border>
    <border>
      <left style="thin">
        <color indexed="8"/>
      </left>
      <right style="medium">
        <color indexed="8"/>
      </right>
      <top style="thin">
        <color indexed="47"/>
      </top>
      <bottom style="thin">
        <color indexed="47"/>
      </bottom>
      <diagonal/>
    </border>
    <border>
      <left style="medium">
        <color indexed="8"/>
      </left>
      <right style="medium">
        <color indexed="8"/>
      </right>
      <top style="thin">
        <color indexed="47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47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47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47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medium">
        <color indexed="8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6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49" fontId="9" fillId="2" borderId="30" xfId="0" applyNumberFormat="1" applyFont="1" applyFill="1" applyBorder="1" applyAlignment="1">
      <alignment horizontal="center" vertical="center" wrapText="1"/>
    </xf>
    <xf numFmtId="0" fontId="3" fillId="5" borderId="24" xfId="0" applyNumberFormat="1" applyFont="1" applyFill="1" applyBorder="1" applyAlignment="1">
      <alignment horizontal="center" vertical="center" wrapText="1"/>
    </xf>
    <xf numFmtId="49" fontId="3" fillId="5" borderId="24" xfId="0" applyNumberFormat="1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3" fillId="5" borderId="29" xfId="0" applyNumberFormat="1" applyFont="1" applyFill="1" applyBorder="1" applyAlignment="1">
      <alignment horizontal="center" vertical="center" wrapText="1"/>
    </xf>
    <xf numFmtId="49" fontId="3" fillId="5" borderId="29" xfId="0" applyNumberFormat="1" applyFont="1" applyFill="1" applyBorder="1" applyAlignment="1">
      <alignment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center" vertical="center" wrapText="1"/>
    </xf>
    <xf numFmtId="1" fontId="3" fillId="0" borderId="28" xfId="0" applyNumberFormat="1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0" fontId="3" fillId="5" borderId="30" xfId="0" applyNumberFormat="1" applyFont="1" applyFill="1" applyBorder="1" applyAlignment="1">
      <alignment horizontal="center" vertical="center" wrapText="1"/>
    </xf>
    <xf numFmtId="49" fontId="3" fillId="5" borderId="30" xfId="0" applyNumberFormat="1" applyFont="1" applyFill="1" applyBorder="1" applyAlignment="1">
      <alignment vertical="center" wrapText="1"/>
    </xf>
    <xf numFmtId="1" fontId="3" fillId="0" borderId="31" xfId="0" applyNumberFormat="1" applyFont="1" applyBorder="1" applyAlignment="1">
      <alignment horizontal="center" vertical="center" wrapText="1"/>
    </xf>
    <xf numFmtId="1" fontId="3" fillId="0" borderId="32" xfId="0" applyNumberFormat="1" applyFont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0" fontId="3" fillId="7" borderId="24" xfId="0" applyNumberFormat="1" applyFont="1" applyFill="1" applyBorder="1" applyAlignment="1">
      <alignment horizontal="center" vertical="center" wrapText="1"/>
    </xf>
    <xf numFmtId="49" fontId="3" fillId="7" borderId="24" xfId="0" applyNumberFormat="1" applyFont="1" applyFill="1" applyBorder="1" applyAlignment="1">
      <alignment vertical="center" wrapText="1"/>
    </xf>
    <xf numFmtId="0" fontId="3" fillId="7" borderId="30" xfId="0" applyNumberFormat="1" applyFont="1" applyFill="1" applyBorder="1" applyAlignment="1">
      <alignment horizontal="center" vertical="center" wrapText="1"/>
    </xf>
    <xf numFmtId="49" fontId="3" fillId="7" borderId="30" xfId="0" applyNumberFormat="1" applyFont="1" applyFill="1" applyBorder="1" applyAlignment="1">
      <alignment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49" fontId="2" fillId="8" borderId="29" xfId="0" applyNumberFormat="1" applyFont="1" applyFill="1" applyBorder="1" applyAlignment="1">
      <alignment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49" fontId="2" fillId="8" borderId="30" xfId="0" applyNumberFormat="1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5" borderId="58" xfId="0" applyNumberFormat="1" applyFont="1" applyFill="1" applyBorder="1" applyAlignment="1">
      <alignment horizontal="center" vertical="center" wrapText="1"/>
    </xf>
    <xf numFmtId="49" fontId="3" fillId="5" borderId="58" xfId="0" applyNumberFormat="1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3" fillId="5" borderId="59" xfId="0" applyFont="1" applyFill="1" applyBorder="1" applyAlignment="1">
      <alignment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59" xfId="0" applyNumberFormat="1" applyFont="1" applyBorder="1" applyAlignment="1">
      <alignment horizontal="center" vertical="center" wrapText="1"/>
    </xf>
    <xf numFmtId="0" fontId="2" fillId="5" borderId="61" xfId="0" applyNumberFormat="1" applyFont="1" applyFill="1" applyBorder="1" applyAlignment="1">
      <alignment horizontal="center" vertical="center" wrapText="1"/>
    </xf>
    <xf numFmtId="49" fontId="3" fillId="5" borderId="61" xfId="0" applyNumberFormat="1" applyFont="1" applyFill="1" applyBorder="1" applyAlignment="1">
      <alignment vertical="center" wrapText="1"/>
    </xf>
    <xf numFmtId="49" fontId="3" fillId="5" borderId="62" xfId="0" applyNumberFormat="1" applyFont="1" applyFill="1" applyBorder="1" applyAlignment="1">
      <alignment vertical="center" wrapText="1"/>
    </xf>
    <xf numFmtId="3" fontId="3" fillId="0" borderId="60" xfId="0" applyNumberFormat="1" applyFont="1" applyBorder="1" applyAlignment="1">
      <alignment horizontal="center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3" fontId="3" fillId="0" borderId="62" xfId="0" applyNumberFormat="1" applyFont="1" applyBorder="1" applyAlignment="1">
      <alignment horizontal="center" vertical="center" wrapText="1"/>
    </xf>
    <xf numFmtId="0" fontId="2" fillId="5" borderId="64" xfId="0" applyNumberFormat="1" applyFont="1" applyFill="1" applyBorder="1" applyAlignment="1">
      <alignment horizontal="center" vertical="center" wrapText="1"/>
    </xf>
    <xf numFmtId="49" fontId="3" fillId="5" borderId="64" xfId="0" applyNumberFormat="1" applyFont="1" applyFill="1" applyBorder="1" applyAlignment="1">
      <alignment vertical="center" wrapText="1"/>
    </xf>
    <xf numFmtId="49" fontId="3" fillId="5" borderId="65" xfId="0" applyNumberFormat="1" applyFont="1" applyFill="1" applyBorder="1" applyAlignment="1">
      <alignment vertical="center" wrapText="1"/>
    </xf>
    <xf numFmtId="3" fontId="3" fillId="0" borderId="63" xfId="0" applyNumberFormat="1" applyFont="1" applyBorder="1" applyAlignment="1">
      <alignment horizontal="center" vertical="center" wrapText="1"/>
    </xf>
    <xf numFmtId="3" fontId="3" fillId="0" borderId="64" xfId="0" applyNumberFormat="1" applyFont="1" applyBorder="1" applyAlignment="1">
      <alignment horizontal="center" vertical="center" wrapText="1"/>
    </xf>
    <xf numFmtId="3" fontId="3" fillId="0" borderId="65" xfId="0" applyNumberFormat="1" applyFont="1" applyBorder="1" applyAlignment="1">
      <alignment horizontal="center" vertical="center" wrapText="1"/>
    </xf>
    <xf numFmtId="0" fontId="2" fillId="7" borderId="58" xfId="0" applyNumberFormat="1" applyFont="1" applyFill="1" applyBorder="1" applyAlignment="1">
      <alignment horizontal="center" vertical="center" wrapText="1"/>
    </xf>
    <xf numFmtId="49" fontId="3" fillId="7" borderId="58" xfId="0" applyNumberFormat="1" applyFont="1" applyFill="1" applyBorder="1" applyAlignment="1">
      <alignment vertical="center" wrapText="1"/>
    </xf>
    <xf numFmtId="49" fontId="3" fillId="7" borderId="59" xfId="0" applyNumberFormat="1" applyFont="1" applyFill="1" applyBorder="1" applyAlignment="1">
      <alignment vertical="center" wrapText="1"/>
    </xf>
    <xf numFmtId="0" fontId="2" fillId="7" borderId="64" xfId="0" applyNumberFormat="1" applyFont="1" applyFill="1" applyBorder="1" applyAlignment="1">
      <alignment horizontal="center" vertical="center" wrapText="1"/>
    </xf>
    <xf numFmtId="49" fontId="3" fillId="7" borderId="64" xfId="0" applyNumberFormat="1" applyFont="1" applyFill="1" applyBorder="1" applyAlignment="1">
      <alignment vertical="center" wrapText="1"/>
    </xf>
    <xf numFmtId="49" fontId="3" fillId="7" borderId="65" xfId="0" applyNumberFormat="1" applyFont="1" applyFill="1" applyBorder="1" applyAlignment="1">
      <alignment vertical="center" wrapText="1"/>
    </xf>
    <xf numFmtId="49" fontId="3" fillId="8" borderId="58" xfId="0" applyNumberFormat="1" applyFont="1" applyFill="1" applyBorder="1" applyAlignment="1">
      <alignment vertical="center" wrapText="1"/>
    </xf>
    <xf numFmtId="49" fontId="3" fillId="8" borderId="59" xfId="0" applyNumberFormat="1" applyFont="1" applyFill="1" applyBorder="1" applyAlignment="1">
      <alignment vertical="center" wrapText="1"/>
    </xf>
    <xf numFmtId="49" fontId="3" fillId="8" borderId="61" xfId="0" applyNumberFormat="1" applyFont="1" applyFill="1" applyBorder="1" applyAlignment="1">
      <alignment vertical="center" wrapText="1"/>
    </xf>
    <xf numFmtId="49" fontId="3" fillId="8" borderId="62" xfId="0" applyNumberFormat="1" applyFont="1" applyFill="1" applyBorder="1" applyAlignment="1">
      <alignment vertical="center" wrapText="1"/>
    </xf>
    <xf numFmtId="49" fontId="3" fillId="8" borderId="66" xfId="0" applyNumberFormat="1" applyFont="1" applyFill="1" applyBorder="1" applyAlignment="1">
      <alignment vertical="center" wrapText="1"/>
    </xf>
    <xf numFmtId="49" fontId="3" fillId="8" borderId="67" xfId="0" applyNumberFormat="1" applyFont="1" applyFill="1" applyBorder="1" applyAlignment="1">
      <alignment vertical="center" wrapText="1"/>
    </xf>
    <xf numFmtId="3" fontId="3" fillId="0" borderId="68" xfId="0" applyNumberFormat="1" applyFont="1" applyBorder="1" applyAlignment="1">
      <alignment horizontal="center" vertical="center" wrapText="1"/>
    </xf>
    <xf numFmtId="3" fontId="3" fillId="0" borderId="66" xfId="0" applyNumberFormat="1" applyFont="1" applyBorder="1" applyAlignment="1">
      <alignment horizontal="center" vertical="center" wrapText="1"/>
    </xf>
    <xf numFmtId="3" fontId="3" fillId="0" borderId="67" xfId="0" applyNumberFormat="1" applyFont="1" applyBorder="1" applyAlignment="1">
      <alignment horizontal="center" vertical="center" wrapText="1"/>
    </xf>
    <xf numFmtId="49" fontId="3" fillId="8" borderId="70" xfId="0" applyNumberFormat="1" applyFont="1" applyFill="1" applyBorder="1" applyAlignment="1">
      <alignment vertical="center" wrapText="1"/>
    </xf>
    <xf numFmtId="3" fontId="3" fillId="0" borderId="71" xfId="0" applyNumberFormat="1" applyFont="1" applyBorder="1" applyAlignment="1">
      <alignment horizontal="center" vertical="center" wrapText="1"/>
    </xf>
    <xf numFmtId="3" fontId="3" fillId="0" borderId="69" xfId="0" applyNumberFormat="1" applyFont="1" applyBorder="1" applyAlignment="1">
      <alignment horizontal="center" vertical="center" wrapText="1"/>
    </xf>
    <xf numFmtId="3" fontId="3" fillId="0" borderId="70" xfId="0" applyNumberFormat="1" applyFont="1" applyBorder="1" applyAlignment="1">
      <alignment horizontal="center" vertical="center" wrapText="1"/>
    </xf>
    <xf numFmtId="49" fontId="3" fillId="8" borderId="64" xfId="0" applyNumberFormat="1" applyFont="1" applyFill="1" applyBorder="1" applyAlignment="1">
      <alignment vertical="center" wrapText="1"/>
    </xf>
    <xf numFmtId="49" fontId="3" fillId="8" borderId="65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top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3" fillId="5" borderId="72" xfId="0" applyNumberFormat="1" applyFont="1" applyFill="1" applyBorder="1" applyAlignment="1">
      <alignment horizontal="center" vertical="center" wrapText="1"/>
    </xf>
    <xf numFmtId="49" fontId="3" fillId="5" borderId="73" xfId="0" applyNumberFormat="1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vertic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0" fontId="3" fillId="5" borderId="75" xfId="0" applyNumberFormat="1" applyFont="1" applyFill="1" applyBorder="1" applyAlignment="1">
      <alignment horizontal="center" vertical="center" wrapText="1"/>
    </xf>
    <xf numFmtId="49" fontId="3" fillId="5" borderId="76" xfId="0" applyNumberFormat="1" applyFont="1" applyFill="1" applyBorder="1" applyAlignment="1">
      <alignment vertical="center" wrapText="1"/>
    </xf>
    <xf numFmtId="49" fontId="3" fillId="5" borderId="77" xfId="0" applyNumberFormat="1" applyFont="1" applyFill="1" applyBorder="1" applyAlignment="1">
      <alignment vertical="center" wrapText="1"/>
    </xf>
    <xf numFmtId="11" fontId="3" fillId="0" borderId="8" xfId="0" applyNumberFormat="1" applyFont="1" applyBorder="1" applyAlignment="1">
      <alignment horizontal="center" vertical="center" wrapText="1"/>
    </xf>
    <xf numFmtId="11" fontId="3" fillId="0" borderId="9" xfId="0" applyNumberFormat="1" applyFont="1" applyBorder="1" applyAlignment="1">
      <alignment horizontal="center" vertical="center" wrapText="1"/>
    </xf>
    <xf numFmtId="0" fontId="3" fillId="5" borderId="78" xfId="0" applyNumberFormat="1" applyFont="1" applyFill="1" applyBorder="1" applyAlignment="1">
      <alignment horizontal="center" vertical="center" wrapText="1"/>
    </xf>
    <xf numFmtId="49" fontId="3" fillId="5" borderId="79" xfId="0" applyNumberFormat="1" applyFont="1" applyFill="1" applyBorder="1" applyAlignment="1">
      <alignment vertical="center" wrapText="1"/>
    </xf>
    <xf numFmtId="49" fontId="3" fillId="5" borderId="80" xfId="0" applyNumberFormat="1" applyFont="1" applyFill="1" applyBorder="1" applyAlignment="1">
      <alignment vertical="center" wrapText="1"/>
    </xf>
    <xf numFmtId="11" fontId="3" fillId="0" borderId="11" xfId="0" applyNumberFormat="1" applyFont="1" applyBorder="1" applyAlignment="1">
      <alignment horizontal="center" vertical="center" wrapText="1"/>
    </xf>
    <xf numFmtId="11" fontId="3" fillId="0" borderId="12" xfId="0" applyNumberFormat="1" applyFont="1" applyBorder="1" applyAlignment="1">
      <alignment horizontal="center" vertical="center" wrapText="1"/>
    </xf>
    <xf numFmtId="0" fontId="3" fillId="7" borderId="81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vertical="center" wrapText="1"/>
    </xf>
    <xf numFmtId="49" fontId="3" fillId="7" borderId="6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7" borderId="82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vertical="center" wrapText="1"/>
    </xf>
    <xf numFmtId="49" fontId="3" fillId="7" borderId="12" xfId="0" applyNumberFormat="1" applyFont="1" applyFill="1" applyBorder="1" applyAlignment="1">
      <alignment vertical="center" wrapText="1"/>
    </xf>
    <xf numFmtId="49" fontId="3" fillId="8" borderId="5" xfId="0" applyNumberFormat="1" applyFont="1" applyFill="1" applyBorder="1" applyAlignment="1">
      <alignment vertical="center" wrapText="1"/>
    </xf>
    <xf numFmtId="49" fontId="3" fillId="8" borderId="6" xfId="0" applyNumberFormat="1" applyFont="1" applyFill="1" applyBorder="1" applyAlignment="1">
      <alignment vertical="center" wrapText="1"/>
    </xf>
    <xf numFmtId="49" fontId="3" fillId="8" borderId="8" xfId="0" applyNumberFormat="1" applyFont="1" applyFill="1" applyBorder="1" applyAlignment="1">
      <alignment vertical="center" wrapText="1"/>
    </xf>
    <xf numFmtId="49" fontId="3" fillId="8" borderId="9" xfId="0" applyNumberFormat="1" applyFont="1" applyFill="1" applyBorder="1" applyAlignment="1">
      <alignment vertical="center" wrapText="1"/>
    </xf>
    <xf numFmtId="49" fontId="3" fillId="8" borderId="86" xfId="0" applyNumberFormat="1" applyFont="1" applyFill="1" applyBorder="1" applyAlignment="1">
      <alignment vertical="center" wrapText="1"/>
    </xf>
    <xf numFmtId="49" fontId="3" fillId="8" borderId="87" xfId="0" applyNumberFormat="1" applyFont="1" applyFill="1" applyBorder="1" applyAlignment="1">
      <alignment vertical="center" wrapText="1"/>
    </xf>
    <xf numFmtId="11" fontId="3" fillId="0" borderId="86" xfId="0" applyNumberFormat="1" applyFont="1" applyBorder="1" applyAlignment="1">
      <alignment horizontal="center" vertical="center" wrapText="1"/>
    </xf>
    <xf numFmtId="11" fontId="3" fillId="0" borderId="87" xfId="0" applyNumberFormat="1" applyFont="1" applyBorder="1" applyAlignment="1">
      <alignment horizontal="center" vertical="center" wrapText="1"/>
    </xf>
    <xf numFmtId="49" fontId="3" fillId="8" borderId="77" xfId="0" applyNumberFormat="1" applyFont="1" applyFill="1" applyBorder="1" applyAlignment="1">
      <alignment vertical="center" wrapText="1"/>
    </xf>
    <xf numFmtId="11" fontId="3" fillId="0" borderId="76" xfId="0" applyNumberFormat="1" applyFont="1" applyBorder="1" applyAlignment="1">
      <alignment horizontal="center" vertical="center" wrapText="1"/>
    </xf>
    <xf numFmtId="11" fontId="3" fillId="0" borderId="77" xfId="0" applyNumberFormat="1" applyFont="1" applyBorder="1" applyAlignment="1">
      <alignment horizontal="center" vertical="center" wrapText="1"/>
    </xf>
    <xf numFmtId="11" fontId="3" fillId="0" borderId="84" xfId="0" applyNumberFormat="1" applyFont="1" applyBorder="1" applyAlignment="1">
      <alignment horizontal="center" vertical="center" wrapText="1"/>
    </xf>
    <xf numFmtId="11" fontId="3" fillId="0" borderId="90" xfId="0" applyNumberFormat="1" applyFont="1" applyBorder="1" applyAlignment="1">
      <alignment horizontal="center" vertical="center" wrapText="1"/>
    </xf>
    <xf numFmtId="49" fontId="3" fillId="8" borderId="11" xfId="0" applyNumberFormat="1" applyFont="1" applyFill="1" applyBorder="1" applyAlignment="1">
      <alignment vertical="center" wrapText="1"/>
    </xf>
    <xf numFmtId="49" fontId="3" fillId="8" borderId="12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top" wrapText="1"/>
    </xf>
    <xf numFmtId="0" fontId="12" fillId="0" borderId="46" xfId="0" applyFont="1" applyBorder="1" applyAlignment="1">
      <alignment horizontal="justify" vertical="top" wrapText="1"/>
    </xf>
    <xf numFmtId="0" fontId="12" fillId="0" borderId="47" xfId="0" applyFont="1" applyBorder="1" applyAlignment="1">
      <alignment horizontal="justify" vertical="top" wrapText="1"/>
    </xf>
    <xf numFmtId="49" fontId="12" fillId="0" borderId="21" xfId="0" applyNumberFormat="1" applyFont="1" applyBorder="1" applyAlignment="1">
      <alignment horizontal="left" vertical="top" wrapText="1"/>
    </xf>
    <xf numFmtId="49" fontId="12" fillId="0" borderId="26" xfId="0" applyNumberFormat="1" applyFont="1" applyBorder="1" applyAlignment="1">
      <alignment horizontal="left" vertical="top" wrapText="1"/>
    </xf>
    <xf numFmtId="49" fontId="12" fillId="0" borderId="31" xfId="0" applyNumberFormat="1" applyFont="1" applyBorder="1" applyAlignment="1">
      <alignment horizontal="left" vertical="top" wrapText="1"/>
    </xf>
    <xf numFmtId="0" fontId="12" fillId="0" borderId="14" xfId="0" applyFont="1" applyBorder="1" applyAlignment="1">
      <alignment horizontal="justify" vertical="top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left" vertical="top" wrapText="1"/>
    </xf>
    <xf numFmtId="49" fontId="11" fillId="0" borderId="31" xfId="0" applyNumberFormat="1" applyFont="1" applyBorder="1" applyAlignment="1">
      <alignment horizontal="left" vertical="top" wrapText="1"/>
    </xf>
    <xf numFmtId="0" fontId="12" fillId="0" borderId="18" xfId="0" applyFont="1" applyBorder="1" applyAlignment="1">
      <alignment horizontal="justify" vertical="top" wrapText="1"/>
    </xf>
    <xf numFmtId="0" fontId="12" fillId="0" borderId="15" xfId="0" applyFont="1" applyBorder="1" applyAlignment="1">
      <alignment horizontal="justify" vertical="top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2" fillId="0" borderId="38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0" fontId="7" fillId="2" borderId="72" xfId="0" applyNumberFormat="1" applyFont="1" applyFill="1" applyBorder="1" applyAlignment="1">
      <alignment horizontal="center" vertical="center" wrapText="1"/>
    </xf>
    <xf numFmtId="0" fontId="7" fillId="2" borderId="73" xfId="0" applyNumberFormat="1" applyFont="1" applyFill="1" applyBorder="1" applyAlignment="1">
      <alignment horizontal="center" vertical="center" wrapText="1"/>
    </xf>
    <xf numFmtId="0" fontId="7" fillId="2" borderId="95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3" fontId="3" fillId="0" borderId="46" xfId="0" applyNumberFormat="1" applyFont="1" applyBorder="1" applyAlignment="1">
      <alignment horizontal="center" vertical="center" wrapText="1"/>
    </xf>
    <xf numFmtId="3" fontId="3" fillId="0" borderId="4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0" fillId="0" borderId="92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82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7" fillId="2" borderId="74" xfId="0" applyNumberFormat="1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15" fillId="3" borderId="47" xfId="0" applyFont="1" applyFill="1" applyBorder="1" applyAlignment="1">
      <alignment horizontal="center" vertical="center" wrapText="1"/>
    </xf>
    <xf numFmtId="0" fontId="0" fillId="3" borderId="48" xfId="0" applyFont="1" applyFill="1" applyBorder="1" applyAlignment="1">
      <alignment vertical="top" wrapText="1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37" xfId="0" applyNumberFormat="1" applyFont="1" applyFill="1" applyBorder="1" applyAlignment="1">
      <alignment horizontal="center" vertical="center" wrapText="1"/>
    </xf>
    <xf numFmtId="0" fontId="6" fillId="2" borderId="38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center" wrapText="1"/>
    </xf>
    <xf numFmtId="168" fontId="3" fillId="0" borderId="36" xfId="0" applyNumberFormat="1" applyFont="1" applyBorder="1" applyAlignment="1">
      <alignment horizontal="center" vertical="center" wrapText="1"/>
    </xf>
    <xf numFmtId="168" fontId="3" fillId="0" borderId="37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167" fontId="2" fillId="0" borderId="21" xfId="0" applyNumberFormat="1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167" fontId="3" fillId="0" borderId="71" xfId="0" applyNumberFormat="1" applyFont="1" applyBorder="1" applyAlignment="1">
      <alignment horizontal="center" vertical="center" wrapText="1"/>
    </xf>
    <xf numFmtId="167" fontId="3" fillId="0" borderId="69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0" xfId="0" applyNumberFormat="1" applyFont="1" applyBorder="1" applyAlignment="1">
      <alignment horizontal="center" vertical="center" wrapText="1"/>
    </xf>
    <xf numFmtId="167" fontId="3" fillId="0" borderId="60" xfId="0" applyNumberFormat="1" applyFont="1" applyBorder="1" applyAlignment="1">
      <alignment horizontal="center" vertical="center" wrapText="1"/>
    </xf>
    <xf numFmtId="167" fontId="3" fillId="0" borderId="61" xfId="0" applyNumberFormat="1" applyFont="1" applyBorder="1" applyAlignment="1">
      <alignment horizontal="center" vertical="center" wrapText="1"/>
    </xf>
    <xf numFmtId="49" fontId="3" fillId="0" borderId="61" xfId="0" applyNumberFormat="1" applyFont="1" applyBorder="1" applyAlignment="1">
      <alignment horizontal="center" vertical="center" wrapText="1"/>
    </xf>
    <xf numFmtId="49" fontId="3" fillId="0" borderId="62" xfId="0" applyNumberFormat="1" applyFont="1" applyBorder="1" applyAlignment="1">
      <alignment horizontal="center" vertical="center" wrapText="1"/>
    </xf>
    <xf numFmtId="167" fontId="3" fillId="0" borderId="68" xfId="0" applyNumberFormat="1" applyFont="1" applyBorder="1" applyAlignment="1">
      <alignment horizontal="center" vertical="center" wrapText="1"/>
    </xf>
    <xf numFmtId="167" fontId="3" fillId="0" borderId="66" xfId="0" applyNumberFormat="1" applyFont="1" applyBorder="1" applyAlignment="1">
      <alignment horizontal="center" vertical="center" wrapText="1"/>
    </xf>
    <xf numFmtId="49" fontId="3" fillId="0" borderId="66" xfId="0" applyNumberFormat="1" applyFont="1" applyBorder="1" applyAlignment="1">
      <alignment horizontal="center" vertical="center" wrapText="1"/>
    </xf>
    <xf numFmtId="49" fontId="3" fillId="0" borderId="67" xfId="0" applyNumberFormat="1" applyFont="1" applyBorder="1" applyAlignment="1">
      <alignment horizontal="center" vertical="center" wrapText="1"/>
    </xf>
    <xf numFmtId="167" fontId="2" fillId="0" borderId="26" xfId="0" applyNumberFormat="1" applyFont="1" applyBorder="1" applyAlignment="1">
      <alignment horizontal="center" vertical="center" wrapText="1"/>
    </xf>
    <xf numFmtId="167" fontId="2" fillId="0" borderId="27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167" fontId="3" fillId="0" borderId="63" xfId="0" applyNumberFormat="1" applyFont="1" applyBorder="1" applyAlignment="1">
      <alignment horizontal="center" vertical="center" wrapText="1"/>
    </xf>
    <xf numFmtId="167" fontId="3" fillId="0" borderId="64" xfId="0" applyNumberFormat="1" applyFont="1" applyBorder="1" applyAlignment="1">
      <alignment horizontal="center" vertical="center" wrapText="1"/>
    </xf>
    <xf numFmtId="49" fontId="3" fillId="0" borderId="64" xfId="0" applyNumberFormat="1" applyFont="1" applyBorder="1" applyAlignment="1">
      <alignment horizontal="center" vertical="center" wrapText="1"/>
    </xf>
    <xf numFmtId="49" fontId="3" fillId="0" borderId="65" xfId="0" applyNumberFormat="1" applyFont="1" applyBorder="1" applyAlignment="1">
      <alignment horizontal="center" vertical="center" wrapText="1"/>
    </xf>
    <xf numFmtId="3" fontId="3" fillId="3" borderId="1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167" fontId="3" fillId="0" borderId="57" xfId="0" applyNumberFormat="1" applyFont="1" applyBorder="1" applyAlignment="1">
      <alignment horizontal="center" vertical="center" wrapText="1"/>
    </xf>
    <xf numFmtId="167" fontId="3" fillId="0" borderId="58" xfId="0" applyNumberFormat="1" applyFont="1" applyBorder="1" applyAlignment="1">
      <alignment horizontal="center" vertical="center" wrapText="1"/>
    </xf>
    <xf numFmtId="49" fontId="3" fillId="0" borderId="58" xfId="0" applyNumberFormat="1" applyFont="1" applyBorder="1" applyAlignment="1">
      <alignment horizontal="center" vertical="center" wrapText="1"/>
    </xf>
    <xf numFmtId="49" fontId="3" fillId="0" borderId="59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167" fontId="3" fillId="3" borderId="18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0" fillId="0" borderId="0" xfId="0" applyNumberFormat="1" applyFont="1" applyAlignment="1">
      <alignment vertical="top" wrapText="1"/>
    </xf>
    <xf numFmtId="49" fontId="6" fillId="2" borderId="13" xfId="0" applyNumberFormat="1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49" fontId="3" fillId="0" borderId="30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49" fontId="6" fillId="2" borderId="13" xfId="0" applyNumberFormat="1" applyFont="1" applyFill="1" applyBorder="1" applyAlignment="1">
      <alignment horizontal="left" vertical="center" wrapText="1"/>
    </xf>
    <xf numFmtId="1" fontId="6" fillId="2" borderId="13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49" fontId="2" fillId="2" borderId="13" xfId="0" applyNumberFormat="1" applyFont="1" applyFill="1" applyBorder="1" applyAlignment="1">
      <alignment horizontal="left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37" xfId="0" applyNumberFormat="1" applyFont="1" applyFill="1" applyBorder="1" applyAlignment="1">
      <alignment horizontal="center" vertical="center" wrapText="1"/>
    </xf>
    <xf numFmtId="1" fontId="2" fillId="2" borderId="38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vertical="center" wrapText="1"/>
    </xf>
    <xf numFmtId="49" fontId="2" fillId="2" borderId="102" xfId="0" applyNumberFormat="1" applyFont="1" applyFill="1" applyBorder="1" applyAlignment="1">
      <alignment vertical="top" wrapText="1"/>
    </xf>
    <xf numFmtId="49" fontId="2" fillId="2" borderId="106" xfId="0" applyNumberFormat="1" applyFont="1" applyFill="1" applyBorder="1" applyAlignment="1">
      <alignment vertical="top" wrapText="1"/>
    </xf>
    <xf numFmtId="49" fontId="2" fillId="2" borderId="110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10" fontId="3" fillId="0" borderId="114" xfId="0" applyNumberFormat="1" applyFont="1" applyBorder="1" applyAlignment="1">
      <alignment horizontal="center" vertical="center" wrapText="1"/>
    </xf>
    <xf numFmtId="3" fontId="3" fillId="0" borderId="115" xfId="0" applyNumberFormat="1" applyFont="1" applyBorder="1" applyAlignment="1">
      <alignment horizontal="center" vertical="center" wrapText="1"/>
    </xf>
    <xf numFmtId="1" fontId="3" fillId="0" borderId="116" xfId="0" applyNumberFormat="1" applyFont="1" applyBorder="1" applyAlignment="1">
      <alignment horizontal="center" vertical="center" wrapText="1"/>
    </xf>
    <xf numFmtId="169" fontId="3" fillId="0" borderId="118" xfId="0" applyNumberFormat="1" applyFont="1" applyBorder="1" applyAlignment="1">
      <alignment horizontal="center" vertical="center" wrapText="1"/>
    </xf>
    <xf numFmtId="3" fontId="3" fillId="0" borderId="120" xfId="0" applyNumberFormat="1" applyFont="1" applyBorder="1" applyAlignment="1">
      <alignment horizontal="center" vertical="center" wrapText="1"/>
    </xf>
    <xf numFmtId="3" fontId="3" fillId="0" borderId="121" xfId="0" applyNumberFormat="1" applyFont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3" fontId="3" fillId="0" borderId="114" xfId="0" applyNumberFormat="1" applyFont="1" applyBorder="1" applyAlignment="1">
      <alignment horizontal="center" vertical="center" wrapText="1"/>
    </xf>
    <xf numFmtId="170" fontId="3" fillId="0" borderId="115" xfId="0" applyNumberFormat="1" applyFont="1" applyBorder="1" applyAlignment="1">
      <alignment horizontal="center" vertical="center" wrapText="1"/>
    </xf>
    <xf numFmtId="3" fontId="3" fillId="0" borderId="116" xfId="0" applyNumberFormat="1" applyFont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vertical="center" wrapText="1"/>
    </xf>
    <xf numFmtId="49" fontId="18" fillId="2" borderId="87" xfId="0" applyNumberFormat="1" applyFont="1" applyFill="1" applyBorder="1" applyAlignment="1">
      <alignment vertical="center" wrapText="1"/>
    </xf>
    <xf numFmtId="3" fontId="3" fillId="0" borderId="87" xfId="0" applyNumberFormat="1" applyFont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49" fontId="1" fillId="0" borderId="93" xfId="0" applyNumberFormat="1" applyFont="1" applyBorder="1" applyAlignment="1">
      <alignment horizontal="center" vertical="center" wrapText="1"/>
    </xf>
    <xf numFmtId="49" fontId="1" fillId="0" borderId="73" xfId="0" applyNumberFormat="1" applyFont="1" applyBorder="1" applyAlignment="1">
      <alignment horizontal="center" vertical="center" wrapText="1"/>
    </xf>
    <xf numFmtId="49" fontId="1" fillId="0" borderId="74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2" fillId="2" borderId="20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2" fillId="2" borderId="28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0" fontId="6" fillId="0" borderId="16" xfId="0" applyFont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left" vertical="center" wrapText="1"/>
    </xf>
    <xf numFmtId="49" fontId="2" fillId="2" borderId="29" xfId="0" applyNumberFormat="1" applyFont="1" applyFill="1" applyBorder="1" applyAlignment="1">
      <alignment horizontal="left" vertical="center" wrapText="1"/>
    </xf>
    <xf numFmtId="49" fontId="2" fillId="2" borderId="3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49" fontId="2" fillId="2" borderId="26" xfId="0" applyNumberFormat="1" applyFont="1" applyFill="1" applyBorder="1" applyAlignment="1">
      <alignment horizontal="center" vertical="top" wrapText="1"/>
    </xf>
    <xf numFmtId="49" fontId="2" fillId="2" borderId="27" xfId="0" applyNumberFormat="1" applyFont="1" applyFill="1" applyBorder="1" applyAlignment="1">
      <alignment horizontal="center" vertical="top" wrapText="1"/>
    </xf>
    <xf numFmtId="49" fontId="2" fillId="2" borderId="28" xfId="0" applyNumberFormat="1" applyFont="1" applyFill="1" applyBorder="1" applyAlignment="1">
      <alignment horizontal="center" vertical="top" wrapText="1"/>
    </xf>
    <xf numFmtId="49" fontId="9" fillId="2" borderId="31" xfId="0" applyNumberFormat="1" applyFont="1" applyFill="1" applyBorder="1" applyAlignment="1">
      <alignment horizontal="center" vertical="top" wrapText="1"/>
    </xf>
    <xf numFmtId="49" fontId="9" fillId="2" borderId="32" xfId="0" applyNumberFormat="1" applyFont="1" applyFill="1" applyBorder="1" applyAlignment="1">
      <alignment horizontal="center" vertical="top" wrapText="1"/>
    </xf>
    <xf numFmtId="49" fontId="9" fillId="2" borderId="33" xfId="0" applyNumberFormat="1" applyFont="1" applyFill="1" applyBorder="1" applyAlignment="1">
      <alignment horizontal="center" vertical="top" wrapText="1"/>
    </xf>
    <xf numFmtId="0" fontId="3" fillId="5" borderId="21" xfId="0" applyNumberFormat="1" applyFont="1" applyFill="1" applyBorder="1" applyAlignment="1">
      <alignment horizontal="center" vertical="center" wrapText="1"/>
    </xf>
    <xf numFmtId="49" fontId="3" fillId="5" borderId="22" xfId="0" applyNumberFormat="1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3" fillId="5" borderId="26" xfId="0" applyNumberFormat="1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vertical="center" wrapText="1"/>
    </xf>
    <xf numFmtId="49" fontId="3" fillId="5" borderId="28" xfId="0" applyNumberFormat="1" applyFont="1" applyFill="1" applyBorder="1" applyAlignment="1">
      <alignment vertical="center" wrapText="1"/>
    </xf>
    <xf numFmtId="0" fontId="3" fillId="5" borderId="31" xfId="0" applyNumberFormat="1" applyFont="1" applyFill="1" applyBorder="1" applyAlignment="1">
      <alignment horizontal="center" vertical="center" wrapText="1"/>
    </xf>
    <xf numFmtId="49" fontId="3" fillId="5" borderId="32" xfId="0" applyNumberFormat="1" applyFont="1" applyFill="1" applyBorder="1" applyAlignment="1">
      <alignment vertical="center" wrapText="1"/>
    </xf>
    <xf numFmtId="49" fontId="3" fillId="5" borderId="33" xfId="0" applyNumberFormat="1" applyFont="1" applyFill="1" applyBorder="1" applyAlignment="1">
      <alignment vertical="center" wrapText="1"/>
    </xf>
    <xf numFmtId="0" fontId="3" fillId="7" borderId="21" xfId="0" applyNumberFormat="1" applyFont="1" applyFill="1" applyBorder="1" applyAlignment="1">
      <alignment horizontal="center" vertical="center" wrapText="1"/>
    </xf>
    <xf numFmtId="0" fontId="3" fillId="7" borderId="31" xfId="0" applyNumberFormat="1" applyFont="1" applyFill="1" applyBorder="1" applyAlignment="1">
      <alignment horizontal="center" vertical="center" wrapText="1"/>
    </xf>
    <xf numFmtId="49" fontId="3" fillId="7" borderId="32" xfId="0" applyNumberFormat="1" applyFont="1" applyFill="1" applyBorder="1" applyAlignment="1">
      <alignment vertical="center" wrapText="1"/>
    </xf>
    <xf numFmtId="49" fontId="3" fillId="7" borderId="33" xfId="0" applyNumberFormat="1" applyFont="1" applyFill="1" applyBorder="1" applyAlignment="1">
      <alignment vertical="center" wrapText="1"/>
    </xf>
    <xf numFmtId="49" fontId="3" fillId="8" borderId="23" xfId="0" applyNumberFormat="1" applyFont="1" applyFill="1" applyBorder="1" applyAlignment="1">
      <alignment vertical="center" wrapText="1"/>
    </xf>
    <xf numFmtId="49" fontId="3" fillId="8" borderId="28" xfId="0" applyNumberFormat="1" applyFont="1" applyFill="1" applyBorder="1" applyAlignment="1">
      <alignment vertical="center" wrapText="1"/>
    </xf>
    <xf numFmtId="49" fontId="3" fillId="8" borderId="33" xfId="0" applyNumberFormat="1" applyFont="1" applyFill="1" applyBorder="1" applyAlignment="1">
      <alignment vertical="center" wrapText="1"/>
    </xf>
    <xf numFmtId="1" fontId="3" fillId="0" borderId="18" xfId="0" applyNumberFormat="1" applyFont="1" applyBorder="1" applyAlignment="1">
      <alignment vertical="top" wrapText="1"/>
    </xf>
    <xf numFmtId="0" fontId="0" fillId="0" borderId="48" xfId="0" applyFont="1" applyBorder="1" applyAlignment="1">
      <alignment vertical="top" wrapText="1"/>
    </xf>
    <xf numFmtId="49" fontId="3" fillId="8" borderId="24" xfId="0" applyNumberFormat="1" applyFont="1" applyFill="1" applyBorder="1" applyAlignment="1">
      <alignment vertical="center" wrapText="1"/>
    </xf>
    <xf numFmtId="49" fontId="3" fillId="8" borderId="29" xfId="0" applyNumberFormat="1" applyFont="1" applyFill="1" applyBorder="1" applyAlignment="1">
      <alignment vertical="center" wrapText="1"/>
    </xf>
    <xf numFmtId="0" fontId="3" fillId="8" borderId="29" xfId="0" applyNumberFormat="1" applyFont="1" applyFill="1" applyBorder="1" applyAlignment="1">
      <alignment horizontal="center" vertical="center" wrapText="1"/>
    </xf>
    <xf numFmtId="49" fontId="3" fillId="8" borderId="69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49" fontId="3" fillId="8" borderId="84" xfId="0" applyNumberFormat="1" applyFont="1" applyFill="1" applyBorder="1" applyAlignment="1">
      <alignment vertical="center" wrapText="1"/>
    </xf>
    <xf numFmtId="0" fontId="0" fillId="0" borderId="18" xfId="0" applyFont="1" applyBorder="1" applyAlignment="1">
      <alignment vertical="top" wrapText="1"/>
    </xf>
    <xf numFmtId="49" fontId="3" fillId="8" borderId="76" xfId="0" applyNumberFormat="1" applyFont="1" applyFill="1" applyBorder="1" applyAlignment="1">
      <alignment vertical="center" wrapText="1"/>
    </xf>
    <xf numFmtId="0" fontId="3" fillId="8" borderId="75" xfId="0" applyNumberFormat="1" applyFont="1" applyFill="1" applyBorder="1" applyAlignment="1">
      <alignment horizontal="center" vertical="center" wrapText="1"/>
    </xf>
    <xf numFmtId="49" fontId="3" fillId="8" borderId="90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9" fontId="6" fillId="0" borderId="93" xfId="0" applyNumberFormat="1" applyFont="1" applyBorder="1" applyAlignment="1">
      <alignment horizontal="center" vertical="center" wrapText="1"/>
    </xf>
    <xf numFmtId="49" fontId="3" fillId="8" borderId="27" xfId="0" applyNumberFormat="1" applyFont="1" applyFill="1" applyBorder="1" applyAlignment="1">
      <alignment vertical="center" wrapText="1"/>
    </xf>
    <xf numFmtId="0" fontId="3" fillId="8" borderId="26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166" fontId="3" fillId="0" borderId="10" xfId="0" applyNumberFormat="1" applyFont="1" applyBorder="1" applyAlignment="1" applyProtection="1">
      <alignment horizontal="center" vertical="center" wrapText="1"/>
      <protection locked="0"/>
    </xf>
    <xf numFmtId="166" fontId="3" fillId="0" borderId="11" xfId="0" applyNumberFormat="1" applyFont="1" applyBorder="1" applyAlignment="1" applyProtection="1">
      <alignment horizontal="center" vertical="center" wrapText="1"/>
      <protection locked="0"/>
    </xf>
    <xf numFmtId="164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88" xfId="0" applyNumberFormat="1" applyFont="1" applyBorder="1" applyAlignment="1" applyProtection="1">
      <alignment horizontal="center" vertical="center" wrapText="1"/>
      <protection locked="0"/>
    </xf>
    <xf numFmtId="164" fontId="3" fillId="0" borderId="86" xfId="0" applyNumberFormat="1" applyFont="1" applyBorder="1" applyAlignment="1" applyProtection="1">
      <alignment horizontal="center" vertical="center" wrapText="1"/>
      <protection locked="0"/>
    </xf>
    <xf numFmtId="49" fontId="3" fillId="0" borderId="89" xfId="0" applyNumberFormat="1" applyFont="1" applyBorder="1" applyAlignment="1" applyProtection="1">
      <alignment horizontal="center" vertical="center" wrapText="1"/>
      <protection locked="0"/>
    </xf>
    <xf numFmtId="164" fontId="3" fillId="0" borderId="76" xfId="0" applyNumberFormat="1" applyFont="1" applyBorder="1" applyAlignment="1" applyProtection="1">
      <alignment horizontal="center" vertical="center" wrapText="1"/>
      <protection locked="0"/>
    </xf>
    <xf numFmtId="49" fontId="3" fillId="0" borderId="91" xfId="0" applyNumberFormat="1" applyFont="1" applyBorder="1" applyAlignment="1" applyProtection="1">
      <alignment horizontal="center" vertical="center" wrapText="1"/>
      <protection locked="0"/>
    </xf>
    <xf numFmtId="1" fontId="3" fillId="0" borderId="84" xfId="0" applyNumberFormat="1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1" fontId="3" fillId="0" borderId="86" xfId="0" applyNumberFormat="1" applyFont="1" applyBorder="1" applyAlignment="1" applyProtection="1">
      <alignment horizontal="center" vertical="center" wrapText="1"/>
      <protection locked="0"/>
    </xf>
    <xf numFmtId="164" fontId="3" fillId="0" borderId="84" xfId="0" applyNumberFormat="1" applyFont="1" applyBorder="1" applyAlignment="1" applyProtection="1">
      <alignment horizontal="center" vertical="center" wrapText="1"/>
      <protection locked="0"/>
    </xf>
    <xf numFmtId="9" fontId="3" fillId="0" borderId="5" xfId="0" applyNumberFormat="1" applyFont="1" applyBorder="1" applyAlignment="1" applyProtection="1">
      <alignment horizontal="center" vertical="center" wrapText="1"/>
      <protection locked="0"/>
    </xf>
    <xf numFmtId="165" fontId="3" fillId="0" borderId="8" xfId="0" applyNumberFormat="1" applyFont="1" applyBorder="1" applyAlignment="1" applyProtection="1">
      <alignment horizontal="center" vertical="center" wrapText="1"/>
      <protection locked="0"/>
    </xf>
    <xf numFmtId="167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9" fontId="3" fillId="0" borderId="11" xfId="0" applyNumberFormat="1" applyFont="1" applyBorder="1" applyAlignment="1" applyProtection="1">
      <alignment horizontal="center" vertical="center" wrapText="1"/>
      <protection locked="0"/>
    </xf>
    <xf numFmtId="165" fontId="3" fillId="0" borderId="86" xfId="0" applyNumberFormat="1" applyFont="1" applyBorder="1" applyAlignment="1" applyProtection="1">
      <alignment horizontal="center" vertical="center" wrapText="1"/>
      <protection locked="0"/>
    </xf>
    <xf numFmtId="165" fontId="3" fillId="0" borderId="76" xfId="0" applyNumberFormat="1" applyFont="1" applyBorder="1" applyAlignment="1" applyProtection="1">
      <alignment horizontal="center" vertical="center" wrapText="1"/>
      <protection locked="0"/>
    </xf>
    <xf numFmtId="165" fontId="3" fillId="0" borderId="84" xfId="0" applyNumberFormat="1" applyFont="1" applyBorder="1" applyAlignment="1" applyProtection="1">
      <alignment horizontal="center" vertical="center" wrapText="1"/>
      <protection locked="0"/>
    </xf>
    <xf numFmtId="9" fontId="3" fillId="0" borderId="8" xfId="0" applyNumberFormat="1" applyFont="1" applyBorder="1" applyAlignment="1" applyProtection="1">
      <alignment horizontal="center" vertical="center" wrapText="1"/>
      <protection locked="0"/>
    </xf>
    <xf numFmtId="165" fontId="3" fillId="0" borderId="11" xfId="0" applyNumberFormat="1" applyFont="1" applyBorder="1" applyAlignment="1" applyProtection="1">
      <alignment horizontal="center" vertical="center" wrapText="1"/>
      <protection locked="0"/>
    </xf>
    <xf numFmtId="11" fontId="3" fillId="0" borderId="5" xfId="0" applyNumberFormat="1" applyFont="1" applyBorder="1" applyAlignment="1" applyProtection="1">
      <alignment horizontal="center" vertical="center" wrapText="1"/>
      <protection locked="0"/>
    </xf>
    <xf numFmtId="11" fontId="3" fillId="0" borderId="8" xfId="0" applyNumberFormat="1" applyFont="1" applyBorder="1" applyAlignment="1" applyProtection="1">
      <alignment horizontal="center" vertical="center" wrapText="1"/>
      <protection locked="0"/>
    </xf>
    <xf numFmtId="11" fontId="3" fillId="0" borderId="4" xfId="0" applyNumberFormat="1" applyFont="1" applyBorder="1" applyAlignment="1" applyProtection="1">
      <alignment horizontal="center" vertical="center" wrapText="1"/>
      <protection locked="0"/>
    </xf>
    <xf numFmtId="11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1" fontId="3" fillId="0" borderId="88" xfId="0" applyNumberFormat="1" applyFont="1" applyBorder="1" applyAlignment="1" applyProtection="1">
      <alignment horizontal="center" vertical="center" wrapText="1"/>
      <protection locked="0"/>
    </xf>
    <xf numFmtId="11" fontId="3" fillId="0" borderId="89" xfId="0" applyNumberFormat="1" applyFont="1" applyBorder="1" applyAlignment="1" applyProtection="1">
      <alignment horizontal="center" vertical="center" wrapText="1"/>
      <protection locked="0"/>
    </xf>
    <xf numFmtId="11" fontId="3" fillId="0" borderId="91" xfId="0" applyNumberFormat="1" applyFont="1" applyBorder="1" applyAlignment="1" applyProtection="1">
      <alignment horizontal="center" vertical="center" wrapText="1"/>
      <protection locked="0"/>
    </xf>
    <xf numFmtId="11" fontId="3" fillId="0" borderId="7" xfId="0" applyNumberFormat="1" applyFont="1" applyBorder="1" applyAlignment="1" applyProtection="1">
      <alignment horizontal="center" vertical="center" wrapText="1"/>
      <protection locked="0"/>
    </xf>
    <xf numFmtId="11" fontId="3" fillId="0" borderId="11" xfId="0" applyNumberFormat="1" applyFont="1" applyBorder="1" applyAlignment="1" applyProtection="1">
      <alignment horizontal="center" vertical="center" wrapText="1"/>
      <protection locked="0"/>
    </xf>
    <xf numFmtId="11" fontId="3" fillId="0" borderId="86" xfId="0" applyNumberFormat="1" applyFont="1" applyBorder="1" applyAlignment="1" applyProtection="1">
      <alignment horizontal="center" vertical="center" wrapText="1"/>
      <protection locked="0"/>
    </xf>
    <xf numFmtId="11" fontId="3" fillId="0" borderId="76" xfId="0" applyNumberFormat="1" applyFont="1" applyBorder="1" applyAlignment="1" applyProtection="1">
      <alignment horizontal="center" vertical="center" wrapText="1"/>
      <protection locked="0"/>
    </xf>
    <xf numFmtId="11" fontId="3" fillId="0" borderId="8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12" fillId="0" borderId="23" xfId="0" applyNumberFormat="1" applyFont="1" applyBorder="1" applyAlignment="1" applyProtection="1">
      <alignment horizontal="center" vertical="center" wrapText="1"/>
      <protection locked="0"/>
    </xf>
    <xf numFmtId="0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33" xfId="0" applyNumberFormat="1" applyFont="1" applyBorder="1" applyAlignment="1" applyProtection="1">
      <alignment horizontal="center" vertical="center" wrapText="1"/>
      <protection locked="0"/>
    </xf>
    <xf numFmtId="0" fontId="12" fillId="0" borderId="27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2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Border="1" applyAlignment="1" applyProtection="1">
      <alignment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3" fontId="3" fillId="0" borderId="22" xfId="0" applyNumberFormat="1" applyFont="1" applyBorder="1" applyAlignment="1" applyProtection="1">
      <alignment horizontal="center" vertical="center" wrapText="1"/>
      <protection locked="0"/>
    </xf>
    <xf numFmtId="3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vertical="center" wrapText="1"/>
      <protection locked="0"/>
    </xf>
    <xf numFmtId="49" fontId="3" fillId="0" borderId="27" xfId="0" applyNumberFormat="1" applyFont="1" applyBorder="1" applyAlignment="1" applyProtection="1">
      <alignment horizontal="center" vertical="center" wrapText="1"/>
      <protection locked="0"/>
    </xf>
    <xf numFmtId="3" fontId="3" fillId="0" borderId="27" xfId="0" applyNumberFormat="1" applyFont="1" applyBorder="1" applyAlignment="1" applyProtection="1">
      <alignment horizontal="center" vertical="center" wrapText="1"/>
      <protection locked="0"/>
    </xf>
    <xf numFmtId="3" fontId="3" fillId="0" borderId="28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 wrapText="1"/>
      <protection locked="0"/>
    </xf>
    <xf numFmtId="3" fontId="3" fillId="0" borderId="32" xfId="0" applyNumberFormat="1" applyFont="1" applyBorder="1" applyAlignment="1" applyProtection="1">
      <alignment horizontal="center" vertical="center" wrapText="1"/>
      <protection locked="0"/>
    </xf>
    <xf numFmtId="3" fontId="3" fillId="0" borderId="33" xfId="0" applyNumberFormat="1" applyFont="1" applyBorder="1" applyAlignment="1" applyProtection="1">
      <alignment horizontal="center" vertical="center" wrapText="1"/>
      <protection locked="0"/>
    </xf>
    <xf numFmtId="0" fontId="0" fillId="0" borderId="83" xfId="0" applyFont="1" applyBorder="1" applyAlignment="1" applyProtection="1">
      <alignment horizontal="center" vertical="center" wrapText="1"/>
      <protection locked="0"/>
    </xf>
    <xf numFmtId="0" fontId="0" fillId="0" borderId="84" xfId="0" applyNumberFormat="1" applyFont="1" applyBorder="1" applyAlignment="1" applyProtection="1">
      <alignment horizontal="center" vertical="center" wrapText="1"/>
      <protection locked="0"/>
    </xf>
    <xf numFmtId="0" fontId="0" fillId="0" borderId="84" xfId="0" applyFont="1" applyBorder="1" applyAlignment="1" applyProtection="1">
      <alignment horizontal="center" vertical="center" wrapText="1"/>
      <protection locked="0"/>
    </xf>
    <xf numFmtId="3" fontId="3" fillId="0" borderId="84" xfId="0" applyNumberFormat="1" applyFont="1" applyBorder="1" applyAlignment="1" applyProtection="1">
      <alignment horizontal="center" vertical="center" wrapText="1"/>
      <protection locked="0"/>
    </xf>
    <xf numFmtId="3" fontId="3" fillId="0" borderId="90" xfId="0" applyNumberFormat="1" applyFont="1" applyBorder="1" applyAlignment="1" applyProtection="1">
      <alignment horizontal="center" vertical="center" wrapText="1"/>
      <protection locked="0"/>
    </xf>
    <xf numFmtId="0" fontId="0" fillId="0" borderId="92" xfId="0" applyFont="1" applyBorder="1" applyAlignment="1" applyProtection="1">
      <alignment horizontal="center" vertical="center" wrapText="1"/>
      <protection locked="0"/>
    </xf>
    <xf numFmtId="0" fontId="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92" xfId="0" applyNumberFormat="1" applyFont="1" applyBorder="1" applyAlignment="1" applyProtection="1">
      <alignment horizontal="center" vertical="center" wrapText="1"/>
      <protection locked="0"/>
    </xf>
    <xf numFmtId="0" fontId="0" fillId="0" borderId="75" xfId="0" applyNumberFormat="1" applyFont="1" applyBorder="1" applyAlignment="1" applyProtection="1">
      <alignment horizontal="center" vertical="center" wrapText="1"/>
      <protection locked="0"/>
    </xf>
    <xf numFmtId="49" fontId="0" fillId="0" borderId="70" xfId="0" applyNumberFormat="1" applyFont="1" applyBorder="1" applyAlignment="1" applyProtection="1">
      <alignment horizontal="center" vertical="center" wrapText="1"/>
      <protection locked="0"/>
    </xf>
    <xf numFmtId="0" fontId="0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79" xfId="0" applyNumberFormat="1" applyFont="1" applyBorder="1" applyAlignment="1" applyProtection="1">
      <alignment horizontal="center" vertical="center" wrapText="1"/>
      <protection locked="0"/>
    </xf>
    <xf numFmtId="0" fontId="0" fillId="0" borderId="79" xfId="0" applyFont="1" applyBorder="1" applyAlignment="1" applyProtection="1">
      <alignment horizontal="center" vertical="center" wrapText="1"/>
      <protection locked="0"/>
    </xf>
    <xf numFmtId="3" fontId="3" fillId="0" borderId="79" xfId="0" applyNumberFormat="1" applyFont="1" applyBorder="1" applyAlignment="1" applyProtection="1">
      <alignment horizontal="center" vertical="center" wrapText="1"/>
      <protection locked="0"/>
    </xf>
    <xf numFmtId="3" fontId="3" fillId="0" borderId="80" xfId="0" applyNumberFormat="1" applyFont="1" applyBorder="1" applyAlignment="1" applyProtection="1">
      <alignment horizontal="center" vertical="center" wrapText="1"/>
      <protection locked="0"/>
    </xf>
    <xf numFmtId="3" fontId="3" fillId="0" borderId="13" xfId="0" applyNumberFormat="1" applyFont="1" applyBorder="1" applyAlignment="1" applyProtection="1">
      <alignment horizontal="center" vertical="center" wrapText="1"/>
      <protection locked="0"/>
    </xf>
    <xf numFmtId="3" fontId="3" fillId="0" borderId="24" xfId="0" applyNumberFormat="1" applyFont="1" applyBorder="1" applyAlignment="1" applyProtection="1">
      <alignment horizontal="center" vertical="center" wrapText="1"/>
      <protection locked="0"/>
    </xf>
    <xf numFmtId="3" fontId="3" fillId="0" borderId="29" xfId="0" applyNumberFormat="1" applyFont="1" applyBorder="1" applyAlignment="1" applyProtection="1">
      <alignment horizontal="center" vertical="center" wrapText="1"/>
      <protection locked="0"/>
    </xf>
    <xf numFmtId="3" fontId="3" fillId="0" borderId="30" xfId="0" applyNumberFormat="1" applyFont="1" applyBorder="1" applyAlignment="1" applyProtection="1">
      <alignment horizontal="center" vertical="center" wrapText="1"/>
      <protection locked="0"/>
    </xf>
    <xf numFmtId="3" fontId="2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103" xfId="0" applyNumberFormat="1" applyFont="1" applyBorder="1" applyAlignment="1" applyProtection="1">
      <alignment horizontal="center" vertical="center" wrapText="1"/>
      <protection locked="0"/>
    </xf>
    <xf numFmtId="0" fontId="3" fillId="0" borderId="104" xfId="0" applyNumberFormat="1" applyFont="1" applyBorder="1" applyAlignment="1" applyProtection="1">
      <alignment horizontal="center" vertical="center" wrapText="1"/>
      <protection locked="0"/>
    </xf>
    <xf numFmtId="3" fontId="3" fillId="0" borderId="104" xfId="0" applyNumberFormat="1" applyFont="1" applyBorder="1" applyAlignment="1" applyProtection="1">
      <alignment horizontal="center" vertical="center" wrapText="1"/>
      <protection locked="0"/>
    </xf>
    <xf numFmtId="3" fontId="3" fillId="0" borderId="105" xfId="0" applyNumberFormat="1" applyFont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Border="1" applyAlignment="1" applyProtection="1">
      <alignment horizontal="center" vertical="center" wrapText="1"/>
      <protection locked="0"/>
    </xf>
    <xf numFmtId="0" fontId="3" fillId="0" borderId="108" xfId="0" applyNumberFormat="1" applyFont="1" applyBorder="1" applyAlignment="1" applyProtection="1">
      <alignment horizontal="center" vertical="center" wrapText="1"/>
      <protection locked="0"/>
    </xf>
    <xf numFmtId="3" fontId="3" fillId="0" borderId="108" xfId="0" applyNumberFormat="1" applyFont="1" applyBorder="1" applyAlignment="1" applyProtection="1">
      <alignment horizontal="center" vertical="center" wrapText="1"/>
      <protection locked="0"/>
    </xf>
    <xf numFmtId="3" fontId="3" fillId="0" borderId="109" xfId="0" applyNumberFormat="1" applyFont="1" applyBorder="1" applyAlignment="1" applyProtection="1">
      <alignment horizontal="center" vertical="center" wrapText="1"/>
      <protection locked="0"/>
    </xf>
    <xf numFmtId="0" fontId="3" fillId="0" borderId="111" xfId="0" applyNumberFormat="1" applyFont="1" applyBorder="1" applyAlignment="1" applyProtection="1">
      <alignment horizontal="center" vertical="center" wrapText="1"/>
      <protection locked="0"/>
    </xf>
    <xf numFmtId="0" fontId="3" fillId="0" borderId="112" xfId="0" applyNumberFormat="1" applyFont="1" applyBorder="1" applyAlignment="1" applyProtection="1">
      <alignment horizontal="center" vertical="center" wrapText="1"/>
      <protection locked="0"/>
    </xf>
    <xf numFmtId="0" fontId="3" fillId="0" borderId="113" xfId="0" applyNumberFormat="1" applyFont="1" applyBorder="1" applyAlignment="1" applyProtection="1">
      <alignment horizontal="center" vertical="center" wrapText="1"/>
      <protection locked="0"/>
    </xf>
    <xf numFmtId="0" fontId="3" fillId="0" borderId="89" xfId="0" applyNumberFormat="1" applyFont="1" applyBorder="1" applyAlignment="1" applyProtection="1">
      <alignment horizontal="center" vertical="center" wrapText="1"/>
      <protection locked="0"/>
    </xf>
    <xf numFmtId="0" fontId="3" fillId="0" borderId="76" xfId="0" applyNumberFormat="1" applyFont="1" applyBorder="1" applyAlignment="1" applyProtection="1">
      <alignment horizontal="center" vertical="center" wrapText="1"/>
      <protection locked="0"/>
    </xf>
    <xf numFmtId="3" fontId="3" fillId="0" borderId="77" xfId="0" applyNumberFormat="1" applyFont="1" applyBorder="1" applyAlignment="1" applyProtection="1">
      <alignment horizontal="center" vertical="center" wrapText="1"/>
      <protection locked="0"/>
    </xf>
    <xf numFmtId="0" fontId="3" fillId="0" borderId="89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0" borderId="8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3" fontId="3" fillId="0" borderId="21" xfId="0" applyNumberFormat="1" applyFont="1" applyBorder="1" applyAlignment="1" applyProtection="1">
      <alignment horizontal="center" vertical="center" wrapText="1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3" fontId="3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 vertical="center" wrapText="1"/>
    </xf>
    <xf numFmtId="0" fontId="0" fillId="0" borderId="43" xfId="0" applyFont="1" applyBorder="1" applyAlignment="1">
      <alignment vertical="top" wrapText="1"/>
    </xf>
    <xf numFmtId="0" fontId="0" fillId="0" borderId="44" xfId="0" applyFont="1" applyBorder="1" applyAlignment="1">
      <alignment vertical="top" wrapText="1"/>
    </xf>
    <xf numFmtId="0" fontId="0" fillId="0" borderId="45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0" fillId="0" borderId="50" xfId="0" applyFont="1" applyBorder="1" applyAlignment="1">
      <alignment vertical="top" wrapText="1"/>
    </xf>
    <xf numFmtId="0" fontId="0" fillId="0" borderId="51" xfId="0" applyFont="1" applyBorder="1" applyAlignment="1">
      <alignment vertical="top" wrapText="1"/>
    </xf>
    <xf numFmtId="0" fontId="0" fillId="0" borderId="5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46" xfId="0" applyFont="1" applyBorder="1" applyAlignment="1">
      <alignment vertical="top" wrapText="1"/>
    </xf>
    <xf numFmtId="0" fontId="0" fillId="0" borderId="47" xfId="0" applyFont="1" applyBorder="1" applyAlignment="1">
      <alignment vertical="top" wrapText="1"/>
    </xf>
    <xf numFmtId="0" fontId="0" fillId="0" borderId="48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49" fontId="2" fillId="3" borderId="36" xfId="0" applyNumberFormat="1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7" fillId="6" borderId="13" xfId="0" applyFont="1" applyFill="1" applyBorder="1" applyAlignment="1">
      <alignment vertical="top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30" xfId="0" applyFont="1" applyFill="1" applyBorder="1" applyAlignment="1">
      <alignment vertical="top" wrapText="1"/>
    </xf>
    <xf numFmtId="49" fontId="2" fillId="7" borderId="13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vertical="top" wrapText="1"/>
    </xf>
    <xf numFmtId="0" fontId="0" fillId="0" borderId="41" xfId="0" applyFont="1" applyBorder="1" applyAlignment="1">
      <alignment vertical="top" wrapText="1"/>
    </xf>
    <xf numFmtId="0" fontId="0" fillId="0" borderId="42" xfId="0" applyFont="1" applyBorder="1" applyAlignment="1">
      <alignment vertical="top" wrapText="1"/>
    </xf>
    <xf numFmtId="0" fontId="0" fillId="0" borderId="36" xfId="0" applyFont="1" applyBorder="1" applyAlignment="1">
      <alignment vertical="top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3" fillId="8" borderId="24" xfId="0" applyNumberFormat="1" applyFont="1" applyFill="1" applyBorder="1" applyAlignment="1">
      <alignment vertical="center" wrapText="1"/>
    </xf>
    <xf numFmtId="0" fontId="7" fillId="6" borderId="29" xfId="0" applyFont="1" applyFill="1" applyBorder="1" applyAlignment="1">
      <alignment vertical="top" wrapText="1"/>
    </xf>
    <xf numFmtId="0" fontId="3" fillId="8" borderId="24" xfId="0" applyNumberFormat="1" applyFont="1" applyFill="1" applyBorder="1" applyAlignment="1">
      <alignment horizontal="center" vertical="center" wrapText="1"/>
    </xf>
    <xf numFmtId="49" fontId="3" fillId="8" borderId="29" xfId="0" applyNumberFormat="1" applyFont="1" applyFill="1" applyBorder="1" applyAlignment="1">
      <alignment vertical="center" wrapText="1"/>
    </xf>
    <xf numFmtId="0" fontId="3" fillId="8" borderId="29" xfId="0" applyNumberFormat="1" applyFont="1" applyFill="1" applyBorder="1" applyAlignment="1">
      <alignment horizontal="center" vertical="center" wrapText="1"/>
    </xf>
    <xf numFmtId="49" fontId="2" fillId="8" borderId="13" xfId="0" applyNumberFormat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top" wrapText="1"/>
    </xf>
    <xf numFmtId="0" fontId="7" fillId="6" borderId="34" xfId="0" applyFont="1" applyFill="1" applyBorder="1" applyAlignment="1">
      <alignment vertical="top" wrapText="1"/>
    </xf>
    <xf numFmtId="0" fontId="7" fillId="6" borderId="35" xfId="0" applyFont="1" applyFill="1" applyBorder="1" applyAlignment="1">
      <alignment vertical="top" wrapText="1"/>
    </xf>
    <xf numFmtId="0" fontId="7" fillId="6" borderId="30" xfId="0" applyFont="1" applyFill="1" applyBorder="1" applyAlignment="1">
      <alignment vertical="top" wrapText="1"/>
    </xf>
    <xf numFmtId="49" fontId="2" fillId="5" borderId="20" xfId="0" applyNumberFormat="1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vertical="top" wrapText="1"/>
    </xf>
    <xf numFmtId="0" fontId="2" fillId="8" borderId="69" xfId="0" applyNumberFormat="1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vertical="top" wrapText="1"/>
    </xf>
    <xf numFmtId="49" fontId="3" fillId="8" borderId="69" xfId="0" applyNumberFormat="1" applyFont="1" applyFill="1" applyBorder="1" applyAlignment="1">
      <alignment vertical="center" wrapText="1"/>
    </xf>
    <xf numFmtId="0" fontId="7" fillId="6" borderId="61" xfId="0" applyFont="1" applyFill="1" applyBorder="1" applyAlignment="1">
      <alignment vertical="top" wrapText="1"/>
    </xf>
    <xf numFmtId="0" fontId="2" fillId="8" borderId="22" xfId="0" applyNumberFormat="1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vertical="top" wrapText="1"/>
    </xf>
    <xf numFmtId="49" fontId="3" fillId="8" borderId="22" xfId="0" applyNumberFormat="1" applyFont="1" applyFill="1" applyBorder="1" applyAlignment="1">
      <alignment vertical="center" wrapText="1"/>
    </xf>
    <xf numFmtId="49" fontId="2" fillId="5" borderId="57" xfId="0" applyNumberFormat="1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vertical="top" wrapText="1"/>
    </xf>
    <xf numFmtId="0" fontId="7" fillId="6" borderId="63" xfId="0" applyFont="1" applyFill="1" applyBorder="1" applyAlignment="1">
      <alignment vertical="top" wrapText="1"/>
    </xf>
    <xf numFmtId="49" fontId="2" fillId="8" borderId="57" xfId="0" applyNumberFormat="1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vertical="top" wrapText="1"/>
    </xf>
    <xf numFmtId="49" fontId="2" fillId="7" borderId="36" xfId="0" applyNumberFormat="1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top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vertical="top" wrapText="1"/>
      <protection locked="0"/>
    </xf>
    <xf numFmtId="0" fontId="0" fillId="0" borderId="19" xfId="0" applyFont="1" applyBorder="1" applyAlignment="1" applyProtection="1">
      <alignment vertical="top" wrapText="1"/>
      <protection locked="0"/>
    </xf>
    <xf numFmtId="0" fontId="0" fillId="0" borderId="39" xfId="0" applyFont="1" applyBorder="1" applyAlignment="1" applyProtection="1">
      <alignment vertical="top" wrapText="1"/>
      <protection locked="0"/>
    </xf>
    <xf numFmtId="0" fontId="0" fillId="0" borderId="40" xfId="0" applyFont="1" applyBorder="1" applyAlignment="1" applyProtection="1">
      <alignment vertical="top" wrapText="1"/>
      <protection locked="0"/>
    </xf>
    <xf numFmtId="0" fontId="0" fillId="0" borderId="41" xfId="0" applyFont="1" applyBorder="1" applyAlignment="1" applyProtection="1">
      <alignment vertical="top" wrapText="1"/>
      <protection locked="0"/>
    </xf>
    <xf numFmtId="0" fontId="0" fillId="0" borderId="46" xfId="0" applyFont="1" applyBorder="1" applyAlignment="1" applyProtection="1">
      <alignment vertical="top" wrapText="1"/>
      <protection locked="0"/>
    </xf>
    <xf numFmtId="0" fontId="0" fillId="0" borderId="47" xfId="0" applyFont="1" applyBorder="1" applyAlignment="1" applyProtection="1">
      <alignment vertical="top" wrapText="1"/>
      <protection locked="0"/>
    </xf>
    <xf numFmtId="0" fontId="0" fillId="0" borderId="48" xfId="0" applyFont="1" applyBorder="1" applyAlignment="1" applyProtection="1">
      <alignment vertical="top" wrapText="1"/>
      <protection locked="0"/>
    </xf>
    <xf numFmtId="0" fontId="0" fillId="0" borderId="14" xfId="0" applyFont="1" applyBorder="1" applyAlignment="1" applyProtection="1">
      <alignment vertical="top" wrapText="1"/>
      <protection locked="0"/>
    </xf>
    <xf numFmtId="0" fontId="0" fillId="0" borderId="15" xfId="0" applyFont="1" applyBorder="1" applyAlignment="1" applyProtection="1">
      <alignment vertical="top" wrapText="1"/>
      <protection locked="0"/>
    </xf>
    <xf numFmtId="0" fontId="0" fillId="0" borderId="16" xfId="0" applyFont="1" applyBorder="1" applyAlignment="1" applyProtection="1">
      <alignment vertical="top" wrapText="1"/>
      <protection locked="0"/>
    </xf>
    <xf numFmtId="49" fontId="2" fillId="3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top" wrapText="1"/>
    </xf>
    <xf numFmtId="49" fontId="3" fillId="8" borderId="76" xfId="0" applyNumberFormat="1" applyFont="1" applyFill="1" applyBorder="1" applyAlignment="1">
      <alignment vertical="center" wrapText="1"/>
    </xf>
    <xf numFmtId="0" fontId="7" fillId="6" borderId="76" xfId="0" applyFont="1" applyFill="1" applyBorder="1" applyAlignment="1">
      <alignment vertical="top" wrapText="1"/>
    </xf>
    <xf numFmtId="0" fontId="3" fillId="8" borderId="75" xfId="0" applyNumberFormat="1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vertical="top" wrapText="1"/>
    </xf>
    <xf numFmtId="49" fontId="3" fillId="8" borderId="90" xfId="0" applyNumberFormat="1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top" wrapText="1"/>
    </xf>
    <xf numFmtId="0" fontId="7" fillId="6" borderId="87" xfId="0" applyFont="1" applyFill="1" applyBorder="1" applyAlignment="1">
      <alignment vertical="top" wrapText="1"/>
    </xf>
    <xf numFmtId="0" fontId="3" fillId="8" borderId="83" xfId="0" applyNumberFormat="1" applyFont="1" applyFill="1" applyBorder="1" applyAlignment="1">
      <alignment horizontal="center" vertical="center" wrapText="1"/>
    </xf>
    <xf numFmtId="0" fontId="7" fillId="6" borderId="92" xfId="0" applyFont="1" applyFill="1" applyBorder="1" applyAlignment="1">
      <alignment vertical="top" wrapText="1"/>
    </xf>
    <xf numFmtId="0" fontId="7" fillId="6" borderId="82" xfId="0" applyFont="1" applyFill="1" applyBorder="1" applyAlignment="1">
      <alignment vertical="top" wrapText="1"/>
    </xf>
    <xf numFmtId="49" fontId="3" fillId="8" borderId="84" xfId="0" applyNumberFormat="1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top" wrapText="1"/>
    </xf>
    <xf numFmtId="0" fontId="7" fillId="6" borderId="11" xfId="0" applyFont="1" applyFill="1" applyBorder="1" applyAlignment="1">
      <alignment vertical="top" wrapText="1"/>
    </xf>
    <xf numFmtId="0" fontId="7" fillId="6" borderId="85" xfId="0" applyFont="1" applyFill="1" applyBorder="1" applyAlignment="1">
      <alignment vertical="top" wrapText="1"/>
    </xf>
    <xf numFmtId="0" fontId="7" fillId="6" borderId="86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center" wrapText="1"/>
    </xf>
    <xf numFmtId="49" fontId="6" fillId="3" borderId="17" xfId="0" applyNumberFormat="1" applyFont="1" applyFill="1" applyBorder="1" applyAlignment="1">
      <alignment horizontal="center" vertical="center" wrapText="1"/>
    </xf>
    <xf numFmtId="0" fontId="3" fillId="8" borderId="72" xfId="0" applyNumberFormat="1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vertical="top" wrapText="1"/>
    </xf>
    <xf numFmtId="49" fontId="3" fillId="8" borderId="73" xfId="0" applyNumberFormat="1" applyFont="1" applyFill="1" applyBorder="1" applyAlignment="1">
      <alignment vertical="center" wrapText="1"/>
    </xf>
    <xf numFmtId="0" fontId="7" fillId="6" borderId="84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top" wrapText="1"/>
    </xf>
    <xf numFmtId="49" fontId="2" fillId="8" borderId="21" xfId="0" applyNumberFormat="1" applyFont="1" applyFill="1" applyBorder="1" applyAlignment="1">
      <alignment horizontal="center" vertical="center" wrapText="1"/>
    </xf>
    <xf numFmtId="0" fontId="7" fillId="6" borderId="71" xfId="0" applyFont="1" applyFill="1" applyBorder="1" applyAlignment="1">
      <alignment vertical="top" wrapText="1"/>
    </xf>
    <xf numFmtId="0" fontId="0" fillId="0" borderId="18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top" wrapText="1"/>
    </xf>
    <xf numFmtId="49" fontId="7" fillId="2" borderId="93" xfId="0" applyNumberFormat="1" applyFont="1" applyFill="1" applyBorder="1" applyAlignment="1">
      <alignment horizontal="center" vertical="center" wrapText="1"/>
    </xf>
    <xf numFmtId="0" fontId="0" fillId="0" borderId="94" xfId="0" applyFont="1" applyBorder="1" applyAlignment="1">
      <alignment vertical="top" wrapText="1"/>
    </xf>
    <xf numFmtId="49" fontId="0" fillId="0" borderId="89" xfId="0" applyNumberFormat="1" applyFont="1" applyBorder="1" applyAlignment="1">
      <alignment horizontal="left" vertical="center" wrapText="1"/>
    </xf>
    <xf numFmtId="0" fontId="0" fillId="0" borderId="99" xfId="0" applyFont="1" applyBorder="1" applyAlignment="1">
      <alignment vertical="top" wrapText="1"/>
    </xf>
    <xf numFmtId="49" fontId="0" fillId="0" borderId="91" xfId="0" applyNumberFormat="1" applyFont="1" applyBorder="1" applyAlignment="1">
      <alignment horizontal="left" vertical="center" wrapText="1"/>
    </xf>
    <xf numFmtId="0" fontId="0" fillId="0" borderId="96" xfId="0" applyFont="1" applyBorder="1" applyAlignment="1">
      <alignment vertical="top" wrapText="1"/>
    </xf>
    <xf numFmtId="49" fontId="0" fillId="0" borderId="10" xfId="0" applyNumberFormat="1" applyFont="1" applyBorder="1" applyAlignment="1">
      <alignment horizontal="left" vertical="center" wrapText="1"/>
    </xf>
    <xf numFmtId="0" fontId="0" fillId="0" borderId="98" xfId="0" applyFont="1" applyBorder="1" applyAlignment="1">
      <alignment vertical="top" wrapText="1"/>
    </xf>
    <xf numFmtId="49" fontId="11" fillId="2" borderId="3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left" vertical="center" wrapText="1"/>
    </xf>
    <xf numFmtId="0" fontId="0" fillId="0" borderId="97" xfId="0" applyFont="1" applyBorder="1" applyAlignment="1">
      <alignment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7" borderId="91" xfId="0" applyNumberFormat="1" applyFont="1" applyFill="1" applyBorder="1" applyAlignment="1">
      <alignment vertical="center" wrapText="1"/>
    </xf>
    <xf numFmtId="0" fontId="0" fillId="0" borderId="90" xfId="0" applyFont="1" applyBorder="1" applyAlignment="1">
      <alignment vertical="top" wrapText="1"/>
    </xf>
    <xf numFmtId="49" fontId="3" fillId="8" borderId="91" xfId="0" applyNumberFormat="1" applyFont="1" applyFill="1" applyBorder="1" applyAlignment="1">
      <alignment vertical="center" wrapText="1"/>
    </xf>
    <xf numFmtId="49" fontId="3" fillId="8" borderId="7" xfId="0" applyNumberFormat="1" applyFont="1" applyFill="1" applyBorder="1" applyAlignment="1">
      <alignment vertical="center" wrapText="1"/>
    </xf>
    <xf numFmtId="49" fontId="3" fillId="8" borderId="10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49" fontId="3" fillId="7" borderId="88" xfId="0" applyNumberFormat="1" applyFont="1" applyFill="1" applyBorder="1" applyAlignment="1">
      <alignment vertical="center" wrapText="1"/>
    </xf>
    <xf numFmtId="0" fontId="0" fillId="0" borderId="87" xfId="0" applyFont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0" fontId="2" fillId="3" borderId="100" xfId="0" applyFont="1" applyFill="1" applyBorder="1" applyAlignment="1">
      <alignment vertical="top" wrapText="1"/>
    </xf>
    <xf numFmtId="0" fontId="0" fillId="0" borderId="101" xfId="0" applyFont="1" applyBorder="1" applyAlignment="1">
      <alignment vertical="top" wrapText="1"/>
    </xf>
    <xf numFmtId="49" fontId="2" fillId="5" borderId="93" xfId="0" applyNumberFormat="1" applyFont="1" applyFill="1" applyBorder="1" applyAlignment="1">
      <alignment vertical="center" wrapText="1"/>
    </xf>
    <xf numFmtId="0" fontId="0" fillId="0" borderId="74" xfId="0" applyFont="1" applyBorder="1" applyAlignment="1">
      <alignment vertical="top" wrapText="1"/>
    </xf>
    <xf numFmtId="49" fontId="2" fillId="7" borderId="89" xfId="0" applyNumberFormat="1" applyFont="1" applyFill="1" applyBorder="1" applyAlignment="1">
      <alignment vertical="center" wrapText="1"/>
    </xf>
    <xf numFmtId="0" fontId="0" fillId="0" borderId="77" xfId="0" applyFont="1" applyBorder="1" applyAlignment="1">
      <alignment vertical="top" wrapText="1"/>
    </xf>
    <xf numFmtId="49" fontId="2" fillId="8" borderId="89" xfId="0" applyNumberFormat="1" applyFont="1" applyFill="1" applyBorder="1" applyAlignment="1">
      <alignment vertical="center" wrapText="1"/>
    </xf>
    <xf numFmtId="49" fontId="3" fillId="5" borderId="91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vertical="center" wrapText="1"/>
    </xf>
    <xf numFmtId="49" fontId="3" fillId="5" borderId="88" xfId="0" applyNumberFormat="1" applyFont="1" applyFill="1" applyBorder="1" applyAlignment="1">
      <alignment vertical="center" wrapText="1"/>
    </xf>
    <xf numFmtId="49" fontId="6" fillId="2" borderId="36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0" fillId="0" borderId="55" xfId="0" applyFont="1" applyBorder="1" applyAlignment="1">
      <alignment vertical="top" wrapText="1"/>
    </xf>
    <xf numFmtId="0" fontId="3" fillId="3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9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3" fontId="3" fillId="0" borderId="88" xfId="0" applyNumberFormat="1" applyFont="1" applyBorder="1" applyAlignment="1" applyProtection="1">
      <alignment horizontal="center" vertical="center" wrapText="1"/>
      <protection locked="0"/>
    </xf>
    <xf numFmtId="0" fontId="0" fillId="0" borderId="86" xfId="0" applyFont="1" applyBorder="1" applyAlignment="1" applyProtection="1">
      <alignment vertical="top" wrapText="1"/>
      <protection locked="0"/>
    </xf>
    <xf numFmtId="0" fontId="0" fillId="0" borderId="87" xfId="0" applyFont="1" applyBorder="1" applyAlignment="1" applyProtection="1">
      <alignment vertical="top" wrapText="1"/>
      <protection locked="0"/>
    </xf>
    <xf numFmtId="49" fontId="6" fillId="0" borderId="93" xfId="0" applyNumberFormat="1" applyFont="1" applyBorder="1" applyAlignment="1">
      <alignment horizontal="center" vertical="center" wrapText="1"/>
    </xf>
    <xf numFmtId="0" fontId="0" fillId="0" borderId="73" xfId="0" applyFont="1" applyBorder="1" applyAlignment="1">
      <alignment vertical="top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3" fillId="0" borderId="124" xfId="0" applyNumberFormat="1" applyFont="1" applyBorder="1" applyAlignment="1">
      <alignment horizontal="center" vertical="center" wrapText="1"/>
    </xf>
    <xf numFmtId="0" fontId="0" fillId="0" borderId="79" xfId="0" applyFont="1" applyBorder="1" applyAlignment="1">
      <alignment vertical="top" wrapText="1"/>
    </xf>
    <xf numFmtId="0" fontId="0" fillId="0" borderId="80" xfId="0" applyFont="1" applyBorder="1" applyAlignment="1">
      <alignment vertical="top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3" fontId="3" fillId="0" borderId="12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3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3" xfId="0" applyFont="1" applyBorder="1" applyAlignment="1" applyProtection="1">
      <alignment vertical="top" wrapText="1"/>
      <protection locked="0"/>
    </xf>
    <xf numFmtId="0" fontId="3" fillId="3" borderId="114" xfId="0" applyNumberFormat="1" applyFont="1" applyFill="1" applyBorder="1" applyAlignment="1">
      <alignment horizontal="center" vertical="center" wrapText="1"/>
    </xf>
    <xf numFmtId="0" fontId="0" fillId="0" borderId="117" xfId="0" applyFont="1" applyBorder="1" applyAlignment="1">
      <alignment vertical="top" wrapText="1"/>
    </xf>
    <xf numFmtId="0" fontId="3" fillId="3" borderId="118" xfId="0" applyNumberFormat="1" applyFont="1" applyFill="1" applyBorder="1" applyAlignment="1">
      <alignment horizontal="center" vertical="center" wrapText="1"/>
    </xf>
    <xf numFmtId="0" fontId="0" fillId="0" borderId="119" xfId="0" applyFont="1" applyBorder="1" applyAlignment="1">
      <alignment vertical="top" wrapText="1"/>
    </xf>
    <xf numFmtId="0" fontId="3" fillId="0" borderId="118" xfId="0" applyFont="1" applyBorder="1" applyAlignment="1" applyProtection="1">
      <alignment horizontal="center" vertical="center" wrapText="1"/>
      <protection locked="0"/>
    </xf>
    <xf numFmtId="0" fontId="0" fillId="0" borderId="120" xfId="0" applyFont="1" applyBorder="1" applyAlignment="1" applyProtection="1">
      <alignment vertical="top" wrapText="1"/>
      <protection locked="0"/>
    </xf>
    <xf numFmtId="0" fontId="0" fillId="0" borderId="121" xfId="0" applyFont="1" applyBorder="1" applyAlignment="1" applyProtection="1">
      <alignment vertical="top" wrapText="1"/>
      <protection locked="0"/>
    </xf>
    <xf numFmtId="49" fontId="6" fillId="2" borderId="124" xfId="0" applyNumberFormat="1" applyFont="1" applyFill="1" applyBorder="1" applyAlignment="1">
      <alignment horizontal="right" vertical="center" wrapText="1"/>
    </xf>
    <xf numFmtId="0" fontId="7" fillId="6" borderId="80" xfId="0" applyFont="1" applyFill="1" applyBorder="1" applyAlignment="1">
      <alignment vertical="top" wrapText="1"/>
    </xf>
    <xf numFmtId="49" fontId="18" fillId="2" borderId="89" xfId="0" applyNumberFormat="1" applyFont="1" applyFill="1" applyBorder="1" applyAlignment="1">
      <alignment vertical="center" wrapText="1"/>
    </xf>
    <xf numFmtId="0" fontId="7" fillId="6" borderId="77" xfId="0" applyFont="1" applyFill="1" applyBorder="1" applyAlignment="1">
      <alignment vertical="top" wrapText="1"/>
    </xf>
    <xf numFmtId="49" fontId="18" fillId="2" borderId="88" xfId="0" applyNumberFormat="1" applyFont="1" applyFill="1" applyBorder="1" applyAlignment="1">
      <alignment vertical="center" wrapText="1"/>
    </xf>
    <xf numFmtId="49" fontId="18" fillId="2" borderId="7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right" vertical="center" wrapText="1"/>
    </xf>
    <xf numFmtId="0" fontId="7" fillId="6" borderId="18" xfId="0" applyFont="1" applyFill="1" applyBorder="1" applyAlignment="1">
      <alignment vertical="top" wrapText="1"/>
    </xf>
    <xf numFmtId="49" fontId="6" fillId="2" borderId="93" xfId="0" applyNumberFormat="1" applyFont="1" applyFill="1" applyBorder="1" applyAlignment="1">
      <alignment horizontal="justify" vertical="center" wrapText="1"/>
    </xf>
    <xf numFmtId="0" fontId="7" fillId="6" borderId="74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vertical="top" wrapText="1"/>
    </xf>
    <xf numFmtId="0" fontId="7" fillId="6" borderId="88" xfId="0" applyFont="1" applyFill="1" applyBorder="1" applyAlignment="1">
      <alignment vertical="top" wrapText="1"/>
    </xf>
    <xf numFmtId="49" fontId="6" fillId="2" borderId="93" xfId="0" applyNumberFormat="1" applyFont="1" applyFill="1" applyBorder="1" applyAlignment="1">
      <alignment horizontal="center" vertical="center" wrapText="1"/>
    </xf>
    <xf numFmtId="49" fontId="6" fillId="2" borderId="91" xfId="0" applyNumberFormat="1" applyFont="1" applyFill="1" applyBorder="1" applyAlignment="1">
      <alignment vertical="center" wrapText="1"/>
    </xf>
    <xf numFmtId="0" fontId="7" fillId="6" borderId="90" xfId="0" applyFont="1" applyFill="1" applyBorder="1" applyAlignment="1">
      <alignment vertical="top" wrapText="1"/>
    </xf>
    <xf numFmtId="49" fontId="6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49" fontId="6" fillId="2" borderId="9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center" wrapText="1"/>
    </xf>
    <xf numFmtId="0" fontId="0" fillId="0" borderId="125" xfId="0" applyFont="1" applyBorder="1" applyAlignment="1">
      <alignment vertical="top" wrapText="1"/>
    </xf>
    <xf numFmtId="0" fontId="0" fillId="0" borderId="126" xfId="0" applyFont="1" applyBorder="1" applyAlignment="1">
      <alignment vertical="top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left" vertical="center" wrapText="1"/>
    </xf>
    <xf numFmtId="0" fontId="0" fillId="0" borderId="23" xfId="0" applyFont="1" applyBorder="1" applyAlignment="1">
      <alignment vertical="top" wrapText="1"/>
    </xf>
    <xf numFmtId="49" fontId="2" fillId="2" borderId="26" xfId="0" applyNumberFormat="1" applyFont="1" applyFill="1" applyBorder="1" applyAlignment="1">
      <alignment horizontal="left" vertical="center" wrapText="1"/>
    </xf>
    <xf numFmtId="0" fontId="0" fillId="0" borderId="28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top" wrapText="1"/>
    </xf>
    <xf numFmtId="0" fontId="3" fillId="8" borderId="26" xfId="0" applyNumberFormat="1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vertical="top" wrapText="1"/>
    </xf>
    <xf numFmtId="49" fontId="3" fillId="8" borderId="27" xfId="0" applyNumberFormat="1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top" wrapText="1"/>
    </xf>
    <xf numFmtId="0" fontId="7" fillId="6" borderId="31" xfId="0" applyFont="1" applyFill="1" applyBorder="1" applyAlignment="1">
      <alignment vertical="top" wrapText="1"/>
    </xf>
    <xf numFmtId="0" fontId="2" fillId="2" borderId="59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vertical="top" wrapText="1"/>
    </xf>
    <xf numFmtId="0" fontId="7" fillId="4" borderId="38" xfId="0" applyFont="1" applyFill="1" applyBorder="1" applyAlignment="1">
      <alignment vertical="top" wrapText="1"/>
    </xf>
    <xf numFmtId="49" fontId="3" fillId="7" borderId="22" xfId="0" applyNumberFormat="1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top" wrapText="1"/>
    </xf>
    <xf numFmtId="0" fontId="7" fillId="4" borderId="35" xfId="0" applyFont="1" applyFill="1" applyBorder="1" applyAlignment="1">
      <alignment vertical="top" wrapText="1"/>
    </xf>
    <xf numFmtId="49" fontId="2" fillId="2" borderId="57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 applyAlignment="1">
      <alignment vertical="top" wrapText="1"/>
    </xf>
    <xf numFmtId="0" fontId="7" fillId="4" borderId="36" xfId="0" applyFont="1" applyFill="1" applyBorder="1" applyAlignment="1">
      <alignment vertical="top" wrapText="1"/>
    </xf>
    <xf numFmtId="49" fontId="2" fillId="2" borderId="58" xfId="0" applyNumberFormat="1" applyFont="1" applyFill="1" applyBorder="1" applyAlignment="1">
      <alignment horizontal="center" vertical="center" wrapText="1"/>
    </xf>
    <xf numFmtId="0" fontId="7" fillId="4" borderId="64" xfId="0" applyFont="1" applyFill="1" applyBorder="1" applyAlignment="1">
      <alignment vertical="top" wrapText="1"/>
    </xf>
    <xf numFmtId="0" fontId="7" fillId="4" borderId="37" xfId="0" applyFont="1" applyFill="1" applyBorder="1" applyAlignment="1">
      <alignment vertical="top" wrapText="1"/>
    </xf>
    <xf numFmtId="0" fontId="3" fillId="8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5D5D5"/>
      <rgbColor rgb="FFA5A5A5"/>
      <rgbColor rgb="FFFEFEFE"/>
      <rgbColor rgb="FFBDC0BF"/>
      <rgbColor rgb="FF88F94E"/>
      <rgbColor rgb="FFDBDBDB"/>
      <rgbColor rgb="FFFEFB66"/>
      <rgbColor rgb="FF56C1FE"/>
      <rgbColor rgb="FFB8B8B8"/>
      <rgbColor rgb="FFFE2500"/>
      <rgbColor rgb="FFC24785"/>
      <rgbColor rgb="FF5F5F5F"/>
      <rgbColor rgb="FF22AEFE"/>
      <rgbColor rgb="FF941651"/>
      <rgbColor rgb="FF72FCD5"/>
      <rgbColor rgb="FF9437FF"/>
      <rgbColor rgb="FF2E578B"/>
      <rgbColor rgb="FF5D9548"/>
      <rgbColor rgb="FFE7A03C"/>
      <rgbColor rgb="FFBC2C2F"/>
      <rgbColor rgb="FF6F3C78"/>
      <rgbColor rgb="FF7C7F7E"/>
      <rgbColor rgb="FF41689A"/>
      <rgbColor rgb="FFFF40FF"/>
      <rgbColor rgb="FF8DF900"/>
      <rgbColor rgb="FF6C7472"/>
      <rgbColor rgb="FF919191"/>
      <rgbColor rgb="FF0096FF"/>
      <rgbColor rgb="FF941100"/>
      <rgbColor rgb="FF00FCFF"/>
      <rgbColor rgb="FF00F900"/>
      <rgbColor rgb="FFFF4222"/>
      <rgbColor rgb="FFF9C321"/>
      <rgbColor rgb="FF21F921"/>
      <rgbColor rgb="FF73FDFF"/>
      <rgbColor rgb="FF212121"/>
      <rgbColor rgb="FFFEC800"/>
      <rgbColor rgb="FFFEFB00"/>
      <rgbColor rgb="FFBFBF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Arial"/>
              </a:rPr>
              <a:t>OSUG C (ISTerre) Consommation Electricité par mois au fil des années (en kWh)</a:t>
            </a:r>
          </a:p>
        </c:rich>
      </c:tx>
      <c:layout>
        <c:manualLayout>
          <c:xMode val="edge"/>
          <c:yMode val="edge"/>
          <c:x val="0.145703"/>
          <c:y val="0"/>
          <c:w val="0.70859399999999995"/>
          <c:h val="7.1669399999999994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6.5497299999999994E-2"/>
          <c:y val="7.1669399999999994E-2"/>
          <c:w val="0.92950299999999997"/>
          <c:h val="0.6860180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'Consommation Électricité'!$B$11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Électricité'!$B$12:$B$23</c:f>
              <c:numCache>
                <c:formatCode>#,##0</c:formatCode>
                <c:ptCount val="12"/>
                <c:pt idx="0">
                  <c:v>58330</c:v>
                </c:pt>
                <c:pt idx="1">
                  <c:v>55531</c:v>
                </c:pt>
                <c:pt idx="2">
                  <c:v>57792</c:v>
                </c:pt>
                <c:pt idx="3">
                  <c:v>54073</c:v>
                </c:pt>
                <c:pt idx="4">
                  <c:v>52210</c:v>
                </c:pt>
                <c:pt idx="5">
                  <c:v>51176</c:v>
                </c:pt>
                <c:pt idx="6">
                  <c:v>50764</c:v>
                </c:pt>
                <c:pt idx="7">
                  <c:v>44394</c:v>
                </c:pt>
                <c:pt idx="8">
                  <c:v>46846</c:v>
                </c:pt>
                <c:pt idx="9">
                  <c:v>50680</c:v>
                </c:pt>
                <c:pt idx="10">
                  <c:v>51214</c:v>
                </c:pt>
                <c:pt idx="11">
                  <c:v>54401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9A-4B0B-8F02-075968405919}"/>
            </c:ext>
          </c:extLst>
        </c:ser>
        <c:ser>
          <c:idx val="1"/>
          <c:order val="1"/>
          <c:tx>
            <c:strRef>
              <c:f>'Consommation Électricité'!$C$11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Électricité'!$C$12:$C$23</c:f>
              <c:numCache>
                <c:formatCode>#,##0</c:formatCode>
                <c:ptCount val="12"/>
                <c:pt idx="0">
                  <c:v>59458</c:v>
                </c:pt>
                <c:pt idx="1">
                  <c:v>50593</c:v>
                </c:pt>
                <c:pt idx="2">
                  <c:v>48217</c:v>
                </c:pt>
                <c:pt idx="3">
                  <c:v>45681</c:v>
                </c:pt>
                <c:pt idx="4">
                  <c:v>48285</c:v>
                </c:pt>
                <c:pt idx="5">
                  <c:v>46219</c:v>
                </c:pt>
                <c:pt idx="6">
                  <c:v>40210</c:v>
                </c:pt>
                <c:pt idx="7">
                  <c:v>37179</c:v>
                </c:pt>
                <c:pt idx="8">
                  <c:v>41426</c:v>
                </c:pt>
                <c:pt idx="9">
                  <c:v>47255</c:v>
                </c:pt>
                <c:pt idx="10">
                  <c:v>52414</c:v>
                </c:pt>
                <c:pt idx="11">
                  <c:v>55592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9A-4B0B-8F02-075968405919}"/>
            </c:ext>
          </c:extLst>
        </c:ser>
        <c:ser>
          <c:idx val="2"/>
          <c:order val="2"/>
          <c:tx>
            <c:strRef>
              <c:f>'Consommation Électricité'!$D$11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hueOff val="-461056"/>
                <a:satOff val="4338"/>
                <a:lumOff val="-10225"/>
              </a:schemeClr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Électricité'!$D$12:$D$23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9A-4B0B-8F02-075968405919}"/>
            </c:ext>
          </c:extLst>
        </c:ser>
        <c:ser>
          <c:idx val="3"/>
          <c:order val="3"/>
          <c:tx>
            <c:strRef>
              <c:f>'Consommation Électricité'!$E$11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2600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Électricité'!$E$12:$E$23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39A-4B0B-8F02-075968405919}"/>
            </c:ext>
          </c:extLst>
        </c:ser>
        <c:ser>
          <c:idx val="4"/>
          <c:order val="4"/>
          <c:tx>
            <c:strRef>
              <c:f>'Consommation Électricité'!$F$11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24885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Électricité'!$F$12:$F$23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9A-4B0B-8F02-075968405919}"/>
            </c:ext>
          </c:extLst>
        </c:ser>
        <c:ser>
          <c:idx val="5"/>
          <c:order val="5"/>
          <c:tx>
            <c:strRef>
              <c:f>'Consommation Électricité'!$G$11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F5F5F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Électricité'!$G$12:$G$23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39A-4B0B-8F02-075968405919}"/>
            </c:ext>
          </c:extLst>
        </c:ser>
        <c:ser>
          <c:idx val="6"/>
          <c:order val="6"/>
          <c:tx>
            <c:strRef>
              <c:f>'Consommation Électricité'!$H$11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AEFF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Électricité'!$H$12:$H$23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39A-4B0B-8F02-075968405919}"/>
            </c:ext>
          </c:extLst>
        </c:ser>
        <c:ser>
          <c:idx val="7"/>
          <c:order val="7"/>
          <c:tx>
            <c:strRef>
              <c:f>'Consommation Électricité'!$I$11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175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Électricité'!$I$12:$I$23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39A-4B0B-8F02-075968405919}"/>
            </c:ext>
          </c:extLst>
        </c:ser>
        <c:ser>
          <c:idx val="8"/>
          <c:order val="8"/>
          <c:tx>
            <c:strRef>
              <c:f>'Consommation Électricité'!$J$11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3FCD6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Électricité'!$J$12:$J$23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39A-4B0B-8F02-075968405919}"/>
            </c:ext>
          </c:extLst>
        </c:ser>
        <c:ser>
          <c:idx val="9"/>
          <c:order val="9"/>
          <c:tx>
            <c:strRef>
              <c:f>'Consommation Électricité'!$K$11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37FF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Électricité'!$A$12:$A$23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Électricité'!$K$12:$K$23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39A-4B0B-8F02-075968405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242439648"/>
        <c:axId val="242440432"/>
      </c:barChart>
      <c:catAx>
        <c:axId val="2424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242440432"/>
        <c:crosses val="autoZero"/>
        <c:auto val="1"/>
        <c:lblAlgn val="ctr"/>
        <c:lblOffset val="100"/>
        <c:noMultiLvlLbl val="1"/>
      </c:catAx>
      <c:valAx>
        <c:axId val="242440432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242439648"/>
        <c:crosses val="autoZero"/>
        <c:crossBetween val="between"/>
        <c:majorUnit val="15000"/>
        <c:minorUnit val="750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116338"/>
          <c:y val="0.95433599999999996"/>
          <c:w val="0.86977499999999996"/>
          <c:h val="4.5664200000000002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Arial"/>
              </a:rPr>
              <a:t>OSUG C (ISTerre) Consommation Gaz par mois au fil des années (en kWh)</a:t>
            </a:r>
          </a:p>
        </c:rich>
      </c:tx>
      <c:layout>
        <c:manualLayout>
          <c:xMode val="edge"/>
          <c:yMode val="edge"/>
          <c:x val="0.175792"/>
          <c:y val="0"/>
          <c:w val="0.64841599999999999"/>
          <c:h val="7.1907299999999993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7.3454199999999997E-2"/>
          <c:y val="7.1907299999999993E-2"/>
          <c:w val="0.92154599999999998"/>
          <c:h val="0.688335999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'Consommation Gaz'!$B$2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E578C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Gaz'!$B$3:$B$14</c:f>
              <c:numCache>
                <c:formatCode>#,##0</c:formatCode>
                <c:ptCount val="12"/>
                <c:pt idx="0">
                  <c:v>75570.451612903198</c:v>
                </c:pt>
                <c:pt idx="1">
                  <c:v>57228.3759733037</c:v>
                </c:pt>
                <c:pt idx="2">
                  <c:v>56135.946607341502</c:v>
                </c:pt>
                <c:pt idx="3">
                  <c:v>20753.225806451599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27815.279999999999</c:v>
                </c:pt>
                <c:pt idx="10">
                  <c:v>60262.833333333299</c:v>
                </c:pt>
                <c:pt idx="11">
                  <c:v>105884.392473118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3E-47DC-8B5E-B9258D2B0EED}"/>
            </c:ext>
          </c:extLst>
        </c:ser>
        <c:ser>
          <c:idx val="1"/>
          <c:order val="1"/>
          <c:tx>
            <c:strRef>
              <c:f>'Consommation Gaz'!$C$2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D9648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Gaz'!$C$3:$C$14</c:f>
              <c:numCache>
                <c:formatCode>#,##0</c:formatCode>
                <c:ptCount val="12"/>
                <c:pt idx="0">
                  <c:v>125305</c:v>
                </c:pt>
                <c:pt idx="1">
                  <c:v>72933</c:v>
                </c:pt>
                <c:pt idx="2">
                  <c:v>50184</c:v>
                </c:pt>
                <c:pt idx="3">
                  <c:v>16585</c:v>
                </c:pt>
                <c:pt idx="4">
                  <c:v>10703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13116</c:v>
                </c:pt>
                <c:pt idx="10">
                  <c:v>73239</c:v>
                </c:pt>
                <c:pt idx="11">
                  <c:v>92938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3E-47DC-8B5E-B9258D2B0EED}"/>
            </c:ext>
          </c:extLst>
        </c:ser>
        <c:ser>
          <c:idx val="2"/>
          <c:order val="2"/>
          <c:tx>
            <c:strRef>
              <c:f>'Consommation Gaz'!$D$2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E7A13D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Gaz'!$D$3:$D$14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3E-47DC-8B5E-B9258D2B0EED}"/>
            </c:ext>
          </c:extLst>
        </c:ser>
        <c:ser>
          <c:idx val="3"/>
          <c:order val="3"/>
          <c:tx>
            <c:strRef>
              <c:f>'Consommation Gaz'!$E$2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C2D30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Gaz'!$E$3:$E$14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3E-47DC-8B5E-B9258D2B0EED}"/>
            </c:ext>
          </c:extLst>
        </c:ser>
        <c:ser>
          <c:idx val="4"/>
          <c:order val="4"/>
          <c:tx>
            <c:strRef>
              <c:f>'Consommation Gaz'!$F$2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F3D79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Gaz'!$F$3:$F$14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3E-47DC-8B5E-B9258D2B0EED}"/>
            </c:ext>
          </c:extLst>
        </c:ser>
        <c:ser>
          <c:idx val="5"/>
          <c:order val="5"/>
          <c:tx>
            <c:strRef>
              <c:f>'Consommation Gaz'!$G$2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7D807F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Gaz'!$G$3:$G$14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13E-47DC-8B5E-B9258D2B0EED}"/>
            </c:ext>
          </c:extLst>
        </c:ser>
        <c:ser>
          <c:idx val="6"/>
          <c:order val="6"/>
          <c:tx>
            <c:strRef>
              <c:f>'Consommation Gaz'!$H$2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1699B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Gaz'!$H$3:$H$14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3E-47DC-8B5E-B9258D2B0EED}"/>
            </c:ext>
          </c:extLst>
        </c:ser>
        <c:ser>
          <c:idx val="7"/>
          <c:order val="7"/>
          <c:tx>
            <c:strRef>
              <c:f>'Consommation Gaz'!$I$2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40FF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Gaz'!$I$3:$I$14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13E-47DC-8B5E-B9258D2B0EED}"/>
            </c:ext>
          </c:extLst>
        </c:ser>
        <c:ser>
          <c:idx val="8"/>
          <c:order val="8"/>
          <c:tx>
            <c:strRef>
              <c:f>'Consommation Gaz'!$J$2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8EFA00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Gaz'!$J$3:$J$14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3E-47DC-8B5E-B9258D2B0EED}"/>
            </c:ext>
          </c:extLst>
        </c:ser>
        <c:ser>
          <c:idx val="9"/>
          <c:order val="9"/>
          <c:tx>
            <c:strRef>
              <c:f>'Consommation Gaz'!$K$2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175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'Consommation Gaz'!$A$3:$A$14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'Consommation Gaz'!$K$3:$K$14</c:f>
              <c:numCache>
                <c:formatCode>#,##0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13E-47DC-8B5E-B9258D2B0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0"/>
        <c:axId val="240355368"/>
        <c:axId val="240355760"/>
      </c:barChart>
      <c:catAx>
        <c:axId val="24035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240355760"/>
        <c:crosses val="autoZero"/>
        <c:auto val="1"/>
        <c:lblAlgn val="ctr"/>
        <c:lblOffset val="100"/>
        <c:noMultiLvlLbl val="1"/>
      </c:catAx>
      <c:valAx>
        <c:axId val="240355760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240355368"/>
        <c:crosses val="autoZero"/>
        <c:crossBetween val="between"/>
        <c:majorUnit val="35000"/>
        <c:minorUnit val="1750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11434900000000001"/>
          <c:y val="0.95422600000000002"/>
          <c:w val="0.85824599999999995"/>
          <c:h val="4.5774299999999997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Arial"/>
              </a:rPr>
              <a:t>OSUG C (ISTerre) Consommation Gaz par an (total en kWh)</a:t>
            </a:r>
          </a:p>
        </c:rich>
      </c:tx>
      <c:layout>
        <c:manualLayout>
          <c:xMode val="edge"/>
          <c:yMode val="edge"/>
          <c:x val="0"/>
          <c:y val="0"/>
          <c:w val="1"/>
          <c:h val="0.10226399999999999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6081300000000001"/>
          <c:y val="0.10226399999999999"/>
          <c:w val="0.83418700000000001"/>
          <c:h val="0.80705800000000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'Consommation Gaz'!$A$15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6D7472"/>
            </a:solidFill>
            <a:ln w="12700" cap="flat">
              <a:noFill/>
              <a:miter lim="400000"/>
            </a:ln>
            <a:effectLst/>
          </c:spPr>
          <c:invertIfNegative val="0"/>
          <c:cat>
            <c:strLit>
              <c:ptCount val="10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</c:strLit>
          </c:cat>
          <c:val>
            <c:numRef>
              <c:f>'Consommation Gaz'!$B$15:$K$15</c:f>
              <c:numCache>
                <c:formatCode>#,##0</c:formatCode>
                <c:ptCount val="10"/>
                <c:pt idx="0">
                  <c:v>403650.50580645131</c:v>
                </c:pt>
                <c:pt idx="1">
                  <c:v>455003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F-4680-A03F-7F21F19F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"/>
        <c:axId val="240356544"/>
        <c:axId val="240356936"/>
      </c:barChart>
      <c:catAx>
        <c:axId val="24035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240356936"/>
        <c:crosses val="autoZero"/>
        <c:auto val="1"/>
        <c:lblAlgn val="ctr"/>
        <c:lblOffset val="100"/>
        <c:noMultiLvlLbl val="1"/>
      </c:catAx>
      <c:valAx>
        <c:axId val="240356936"/>
        <c:scaling>
          <c:orientation val="minMax"/>
          <c:max val="550000"/>
          <c:min val="300000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240356544"/>
        <c:crosses val="autoZero"/>
        <c:crossBetween val="between"/>
        <c:majorUnit val="31250"/>
        <c:minorUnit val="1562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Arial"/>
              </a:rPr>
              <a:t>OSUG C (ISTerre) Consommation Electricité par an (total en kWh)</a:t>
            </a:r>
          </a:p>
        </c:rich>
      </c:tx>
      <c:layout>
        <c:manualLayout>
          <c:xMode val="edge"/>
          <c:yMode val="edge"/>
          <c:x val="0"/>
          <c:y val="0"/>
          <c:w val="1"/>
          <c:h val="0.101954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6081300000000001"/>
          <c:y val="0.101954"/>
          <c:w val="0.83418700000000001"/>
          <c:h val="0.80760500000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'Consommation Électricité'!$A$24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strLit>
              <c:ptCount val="10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2024</c:v>
              </c:pt>
            </c:strLit>
          </c:cat>
          <c:val>
            <c:numRef>
              <c:f>'Consommation Électricité'!$B$24:$K$24</c:f>
              <c:numCache>
                <c:formatCode>#,##0</c:formatCode>
                <c:ptCount val="10"/>
                <c:pt idx="0">
                  <c:v>627411</c:v>
                </c:pt>
                <c:pt idx="1">
                  <c:v>572529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1B-4EBF-8245-4B5BB2AD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"/>
        <c:axId val="536222800"/>
        <c:axId val="536223192"/>
      </c:barChart>
      <c:catAx>
        <c:axId val="53622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536223192"/>
        <c:crosses val="autoZero"/>
        <c:auto val="1"/>
        <c:lblAlgn val="ctr"/>
        <c:lblOffset val="100"/>
        <c:noMultiLvlLbl val="1"/>
      </c:catAx>
      <c:valAx>
        <c:axId val="536223192"/>
        <c:scaling>
          <c:orientation val="minMax"/>
          <c:max val="700000"/>
          <c:min val="450000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fr-FR"/>
          </a:p>
        </c:txPr>
        <c:crossAx val="536222800"/>
        <c:crosses val="autoZero"/>
        <c:crossBetween val="between"/>
        <c:majorUnit val="31250"/>
        <c:minorUnit val="1562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lang="en-US" sz="1200" b="1" i="0" u="none" strike="noStrike">
                <a:solidFill>
                  <a:srgbClr val="000000"/>
                </a:solidFill>
                <a:latin typeface="Arial"/>
              </a:rPr>
              <a:t>Part des émissions de GES en fonction des postes d’émissions pour l’année de référence 2017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6323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24319"/>
          <c:y val="0.116323"/>
          <c:w val="0.75136199999999997"/>
          <c:h val="0.60480500000000004"/>
        </c:manualLayout>
      </c:layout>
      <c:pieChart>
        <c:varyColors val="0"/>
        <c:ser>
          <c:idx val="0"/>
          <c:order val="0"/>
          <c:tx>
            <c:strRef>
              <c:f>'Bilan GES ISTerre'!$N$1:$N$4</c:f>
              <c:strCache>
                <c:ptCount val="4"/>
                <c:pt idx="1">
                  <c:v>2017</c:v>
                </c:pt>
                <c:pt idx="2">
                  <c:v>Total émissions GES : eCO2</c:v>
                </c:pt>
                <c:pt idx="3">
                  <c:v>en tonnes eCO2</c:v>
                </c:pt>
              </c:strCache>
            </c:strRef>
          </c:tx>
          <c:spPr>
            <a:solidFill>
              <a:srgbClr val="9437FF"/>
            </a:solidFill>
            <a:ln w="12700" cap="flat">
              <a:noFill/>
              <a:miter lim="400000"/>
            </a:ln>
            <a:effectLst/>
          </c:spPr>
          <c:explosion val="7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CBD-4658-9D3D-591051022E5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BD-4658-9D3D-591051022E54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BD-4658-9D3D-591051022E54}"/>
              </c:ext>
            </c:extLst>
          </c:dPt>
          <c:dPt>
            <c:idx val="3"/>
            <c:bubble3D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CBD-4658-9D3D-591051022E54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CBD-4658-9D3D-591051022E54}"/>
              </c:ext>
            </c:extLst>
          </c:dPt>
          <c:dPt>
            <c:idx val="5"/>
            <c:bubble3D val="0"/>
            <c:spPr>
              <a:solidFill>
                <a:srgbClr val="929292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CBD-4658-9D3D-591051022E54}"/>
              </c:ext>
            </c:extLst>
          </c:dPt>
          <c:dPt>
            <c:idx val="6"/>
            <c:bubble3D val="0"/>
            <c:spPr>
              <a:solidFill>
                <a:srgbClr val="0096FF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CBD-4658-9D3D-591051022E54}"/>
              </c:ext>
            </c:extLst>
          </c:dPt>
          <c:dPt>
            <c:idx val="7"/>
            <c:bubble3D val="0"/>
            <c:spPr>
              <a:solidFill>
                <a:srgbClr val="941100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CBD-4658-9D3D-591051022E54}"/>
              </c:ext>
            </c:extLst>
          </c:dPt>
          <c:dPt>
            <c:idx val="8"/>
            <c:bubble3D val="0"/>
            <c:spPr>
              <a:solidFill>
                <a:srgbClr val="00FDFF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CBD-4658-9D3D-591051022E54}"/>
              </c:ext>
            </c:extLst>
          </c:dPt>
          <c:dLbls>
            <c:dLbl>
              <c:idx val="0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numFmt formatCode="#,##0%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Arial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  <a:headEnd type="triangl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Émissions directes des sources mobiles à moteur thermique</c:v>
              </c:pt>
              <c:pt idx="1">
                <c:v>Émissions directes fugitives</c:v>
              </c:pt>
              <c:pt idx="2">
                <c:v>Émissions indirectes liées à la consommation d’électricité</c:v>
              </c:pt>
              <c:pt idx="3">
                <c:v>Emissions indirectes liées à la consommation de vapeur, chaleur ou froid</c:v>
              </c:pt>
              <c:pt idx="4">
                <c:v>Emissions liées à l’énergie non incluses dans les postes 1 à 7</c:v>
              </c:pt>
              <c:pt idx="5">
                <c:v>Achats de produits ou services</c:v>
              </c:pt>
              <c:pt idx="6">
                <c:v>Immobilisation des biens</c:v>
              </c:pt>
              <c:pt idx="7">
                <c:v>Déplacements professionnels</c:v>
              </c:pt>
              <c:pt idx="8">
                <c:v>Déplacements domicile travail</c:v>
              </c:pt>
            </c:strLit>
          </c:cat>
          <c:val>
            <c:numRef>
              <c:f>('Bilan GES ISTerre'!$N$6,'Bilan GES ISTerre'!$N$7,'Bilan GES ISTerre'!$N$9,'Bilan GES ISTerre'!$N$10,'Bilan GES ISTerre'!$N$15,'Bilan GES ISTerre'!$N$18,'Bilan GES ISTerre'!$N$19,'Bilan GES ISTerre'!$N$25,'Bilan GES ISTerre'!$N$37)</c:f>
              <c:numCache>
                <c:formatCode>0</c:formatCode>
                <c:ptCount val="9"/>
                <c:pt idx="0">
                  <c:v>12.02008378</c:v>
                </c:pt>
                <c:pt idx="1">
                  <c:v>18.416159999999998</c:v>
                </c:pt>
                <c:pt idx="2">
                  <c:v>15.409363128878502</c:v>
                </c:pt>
                <c:pt idx="3">
                  <c:v>83.234885912404323</c:v>
                </c:pt>
                <c:pt idx="4">
                  <c:v>29.586397312254675</c:v>
                </c:pt>
                <c:pt idx="5">
                  <c:v>63.975737416800001</c:v>
                </c:pt>
                <c:pt idx="6">
                  <c:v>21.693999999999999</c:v>
                </c:pt>
                <c:pt idx="7">
                  <c:v>656.74293594000005</c:v>
                </c:pt>
                <c:pt idx="8">
                  <c:v>163.92078777447932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ACBD-4658-9D3D-591051022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3.5376699999999997E-2"/>
          <c:y val="0.77797499999999997"/>
          <c:w val="0.92924700000000005"/>
          <c:h val="0.22202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200" b="1" i="0" u="none" strike="noStrike">
                <a:solidFill>
                  <a:srgbClr val="000000"/>
                </a:solidFill>
                <a:latin typeface="Helvetica Neue"/>
              </a:rPr>
              <a:t>Part des émissions de GES en fonction des scopes pour l’année de référence 2017</a:t>
            </a:r>
          </a:p>
        </c:rich>
      </c:tx>
      <c:layout>
        <c:manualLayout>
          <c:xMode val="edge"/>
          <c:yMode val="edge"/>
          <c:x val="0"/>
          <c:y val="0"/>
          <c:w val="1"/>
          <c:h val="0.19486300000000001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4877799999999999"/>
          <c:y val="0.19486300000000001"/>
          <c:w val="0.70244499999999999"/>
          <c:h val="0.61882499999999996"/>
        </c:manualLayout>
      </c:layout>
      <c:pieChart>
        <c:varyColors val="0"/>
        <c:ser>
          <c:idx val="0"/>
          <c:order val="0"/>
          <c:tx>
            <c:strRef>
              <c:f>'Bilan GES ISTerre'!$N$1</c:f>
              <c:strCache>
                <c:ptCount val="1"/>
              </c:strCache>
            </c:strRef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FDB-4706-9C98-9F4872C045A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DB-4706-9C98-9F4872C045A6}"/>
              </c:ext>
            </c:extLst>
          </c:dPt>
          <c:dPt>
            <c:idx val="2"/>
            <c:bubble3D val="0"/>
            <c:spPr>
              <a:solidFill>
                <a:schemeClr val="accent1">
                  <a:lumOff val="16847"/>
                </a:schemeClr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FDB-4706-9C98-9F4872C045A6}"/>
              </c:ext>
            </c:extLst>
          </c:dPt>
          <c:dLbls>
            <c:dLbl>
              <c:idx val="0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latin typeface="Helvetica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  <a:headEnd type="triangl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Scope 1 : émissions directes de GES</c:v>
              </c:pt>
              <c:pt idx="1">
                <c:v>Scope 2 : émissions indirectes associées à l’énergie</c:v>
              </c:pt>
              <c:pt idx="2">
                <c:v>Scope 3 : autres émissions indirectes de GES</c:v>
              </c:pt>
            </c:strLit>
          </c:cat>
          <c:val>
            <c:numRef>
              <c:f>('Bilan GES ISTerre'!$N$8,'Bilan GES ISTerre'!$N$11,'Bilan GES ISTerre'!$N$38)</c:f>
              <c:numCache>
                <c:formatCode>0</c:formatCode>
                <c:ptCount val="3"/>
                <c:pt idx="0">
                  <c:v>30.436243779999998</c:v>
                </c:pt>
                <c:pt idx="1">
                  <c:v>98.644249041282819</c:v>
                </c:pt>
                <c:pt idx="2">
                  <c:v>935.91985844353405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DB-4706-9C98-9F4872C04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7"/>
      </c:pie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"/>
          <c:y val="0.86596099999999998"/>
          <c:w val="1"/>
          <c:h val="0.1340389999999999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Arial"/>
              </a:rPr>
              <a:t>Evolution des émissions de GES au fil des années (en tonnes eqCO2)</a:t>
            </a:r>
          </a:p>
        </c:rich>
      </c:tx>
      <c:layout>
        <c:manualLayout>
          <c:xMode val="edge"/>
          <c:yMode val="edge"/>
          <c:x val="8.2682000000000005E-2"/>
          <c:y val="0"/>
          <c:w val="0.83463600000000004"/>
          <c:h val="0.125554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21851599999999999"/>
          <c:y val="0.125554"/>
          <c:w val="0.77648399999999995"/>
          <c:h val="0.79713900000000004"/>
        </c:manualLayout>
      </c:layout>
      <c:barChart>
        <c:barDir val="col"/>
        <c:grouping val="clustered"/>
        <c:varyColors val="0"/>
        <c:ser>
          <c:idx val="0"/>
          <c:order val="0"/>
          <c:tx>
            <c:v>Sans titre 1</c:v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6EF-41B4-9EB8-6D99E9D129F5}"/>
              </c:ext>
            </c:extLst>
          </c:dPt>
          <c:dPt>
            <c:idx val="1"/>
            <c:invertIfNegative val="1"/>
            <c:bubble3D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EF-41B4-9EB8-6D99E9D129F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>
                  <a:hueOff val="-461056"/>
                  <a:satOff val="4338"/>
                  <a:lumOff val="-10225"/>
                </a:schemeClr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EF-41B4-9EB8-6D99E9D129F5}"/>
              </c:ext>
            </c:extLst>
          </c:dPt>
          <c:dPt>
            <c:idx val="3"/>
            <c:invertIfNegative val="1"/>
            <c:bubble3D val="0"/>
            <c:spPr>
              <a:solidFill>
                <a:srgbClr val="00F900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EF-41B4-9EB8-6D99E9D129F5}"/>
              </c:ext>
            </c:extLst>
          </c:dPt>
          <c:dPt>
            <c:idx val="4"/>
            <c:invertIfNegative val="1"/>
            <c:bubble3D val="0"/>
            <c:spPr>
              <a:solidFill>
                <a:srgbClr val="C24885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6EF-41B4-9EB8-6D99E9D129F5}"/>
              </c:ext>
            </c:extLst>
          </c:dPt>
          <c:dPt>
            <c:idx val="5"/>
            <c:invertIfNegative val="1"/>
            <c:bubble3D val="0"/>
            <c:spPr>
              <a:solidFill>
                <a:srgbClr val="5F5F5F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6EF-41B4-9EB8-6D99E9D129F5}"/>
              </c:ext>
            </c:extLst>
          </c:dPt>
          <c:dPt>
            <c:idx val="6"/>
            <c:invertIfNegative val="1"/>
            <c:bubble3D val="0"/>
            <c:spPr>
              <a:solidFill>
                <a:srgbClr val="00FDFF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6EF-41B4-9EB8-6D99E9D129F5}"/>
              </c:ext>
            </c:extLst>
          </c:dPt>
          <c:dPt>
            <c:idx val="7"/>
            <c:invertIfNegative val="1"/>
            <c:bubble3D val="0"/>
            <c:spPr>
              <a:solidFill>
                <a:srgbClr val="FF4322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6EF-41B4-9EB8-6D99E9D129F5}"/>
              </c:ext>
            </c:extLst>
          </c:dPt>
          <c:dPt>
            <c:idx val="8"/>
            <c:invertIfNegative val="1"/>
            <c:bubble3D val="0"/>
            <c:spPr>
              <a:solidFill>
                <a:srgbClr val="F9C321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6EF-41B4-9EB8-6D99E9D129F5}"/>
              </c:ext>
            </c:extLst>
          </c:dPt>
          <c:dPt>
            <c:idx val="9"/>
            <c:invertIfNegative val="1"/>
            <c:bubble3D val="0"/>
            <c:spPr>
              <a:solidFill>
                <a:srgbClr val="21FA21"/>
              </a:solidFill>
              <a:ln w="12700" cap="flat">
                <a:noFill/>
                <a:miter lim="4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6EF-41B4-9EB8-6D99E9D129F5}"/>
              </c:ext>
            </c:extLst>
          </c:dPt>
          <c:dLbls>
            <c:dLbl>
              <c:idx val="0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6EF-41B4-9EB8-6D99E9D129F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6EF-41B4-9EB8-6D99E9D129F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6EF-41B4-9EB8-6D99E9D129F5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</c:strLit>
          </c:cat>
          <c:val>
            <c:numRef>
              <c:f>('Bilan GES ISTerre'!$I$40,'Bilan GES ISTerre'!$N$40,'Bilan GES ISTerre'!$S$40,'Bilan GES ISTerre'!$X$40,'Bilan GES ISTerre'!$AC$40,'Bilan GES ISTerre'!$AH$40,'Bilan GES ISTerre'!$AM$40,'Bilan GES ISTerre'!$AR$40,'Bilan GES ISTerre'!$AW$40,'Bilan GES ISTerre'!$BB$40)</c:f>
              <c:numCache>
                <c:formatCode>0</c:formatCode>
                <c:ptCount val="10"/>
                <c:pt idx="0">
                  <c:v>302.68800488882528</c:v>
                </c:pt>
                <c:pt idx="1">
                  <c:v>1065.0003512648168</c:v>
                </c:pt>
                <c:pt idx="2">
                  <c:v>214.92330111158529</c:v>
                </c:pt>
                <c:pt idx="3">
                  <c:v>22.722159999999999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6EF-41B4-9EB8-6D99E9D12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0"/>
        <c:axId val="241631440"/>
        <c:axId val="241631832"/>
      </c:barChart>
      <c:catAx>
        <c:axId val="24163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241631832"/>
        <c:crosses val="autoZero"/>
        <c:auto val="1"/>
        <c:lblAlgn val="ctr"/>
        <c:lblOffset val="100"/>
        <c:noMultiLvlLbl val="1"/>
      </c:catAx>
      <c:valAx>
        <c:axId val="24163183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#&quot; tonnes eqCO2&quot;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241631440"/>
        <c:crosses val="autoZero"/>
        <c:crossBetween val="between"/>
        <c:majorUnit val="171.429"/>
        <c:minorUnit val="85.714299999999994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Arial"/>
              </a:rPr>
              <a:t>Consommations électriques ISTerre (en kWh)</a:t>
            </a:r>
          </a:p>
        </c:rich>
      </c:tx>
      <c:layout>
        <c:manualLayout>
          <c:xMode val="edge"/>
          <c:yMode val="edge"/>
          <c:x val="0.19667000000000001"/>
          <c:y val="0"/>
          <c:w val="0.60665999999999998"/>
          <c:h val="7.6685100000000006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3114500000000001"/>
          <c:y val="7.6685100000000006E-2"/>
          <c:w val="0.86385500000000004"/>
          <c:h val="0.6717689999999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'Consommation Électricité'!$A$3</c:f>
              <c:strCache>
                <c:ptCount val="1"/>
                <c:pt idx="0">
                  <c:v>Bâtiment OSUG-C (ISTerre Grenoble)</c:v>
                </c:pt>
              </c:strCache>
            </c:strRef>
          </c:tx>
          <c:spPr>
            <a:solidFill>
              <a:srgbClr val="73FDFF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'Consommation Électricité'!$B$2:$K$2</c:f>
              <c:numCache>
                <c:formatCode>0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'Consommation Électricité'!$B$3:$K$3</c:f>
              <c:numCache>
                <c:formatCode>#,##0</c:formatCode>
                <c:ptCount val="10"/>
                <c:pt idx="0">
                  <c:v>627411</c:v>
                </c:pt>
                <c:pt idx="1">
                  <c:v>572529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09-4832-A0A9-F6863F25AEDC}"/>
            </c:ext>
          </c:extLst>
        </c:ser>
        <c:ser>
          <c:idx val="1"/>
          <c:order val="1"/>
          <c:tx>
            <c:strRef>
              <c:f>'Consommation Électricité'!$A$4</c:f>
              <c:strCache>
                <c:ptCount val="1"/>
                <c:pt idx="0">
                  <c:v>Bâtiments ISTerre Chambéry</c:v>
                </c:pt>
              </c:strCache>
            </c:strRef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'Consommation Électricité'!$B$2:$K$2</c:f>
              <c:numCache>
                <c:formatCode>0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'Consommation Électricité'!$B$4:$K$4</c:f>
              <c:numCache>
                <c:formatCode>#,##0</c:formatCode>
                <c:ptCount val="10"/>
                <c:pt idx="0">
                  <c:v>0</c:v>
                </c:pt>
                <c:pt idx="1">
                  <c:v>30196.839719626169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09-4832-A0A9-F6863F25AEDC}"/>
            </c:ext>
          </c:extLst>
        </c:ser>
        <c:ser>
          <c:idx val="2"/>
          <c:order val="2"/>
          <c:tx>
            <c:strRef>
              <c:f>'Consommation Électricité'!$A$5</c:f>
              <c:strCache>
                <c:ptCount val="1"/>
                <c:pt idx="0">
                  <c:v>Stations sismologiques</c:v>
                </c:pt>
              </c:strCache>
            </c:strRef>
          </c:tx>
          <c:spPr>
            <a:solidFill>
              <a:srgbClr val="212121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'Consommation Électricité'!$B$2:$K$2</c:f>
              <c:numCache>
                <c:formatCode>0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'Consommation Électricité'!$B$5:$K$5</c:f>
              <c:numCache>
                <c:formatCode>#,##0</c:formatCode>
                <c:ptCount val="10"/>
                <c:pt idx="0">
                  <c:v>3942</c:v>
                </c:pt>
                <c:pt idx="1">
                  <c:v>3942</c:v>
                </c:pt>
                <c:pt idx="2">
                  <c:v>3942</c:v>
                </c:pt>
                <c:pt idx="3">
                  <c:v>3942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09-4832-A0A9-F6863F25AEDC}"/>
            </c:ext>
          </c:extLst>
        </c:ser>
        <c:ser>
          <c:idx val="3"/>
          <c:order val="3"/>
          <c:tx>
            <c:strRef>
              <c:f>'Consommation Électricité'!$A$6</c:f>
              <c:strCache>
                <c:ptCount val="1"/>
                <c:pt idx="0">
                  <c:v>Serveurs externalisés</c:v>
                </c:pt>
              </c:strCache>
            </c:strRef>
          </c:tx>
          <c:spPr>
            <a:solidFill>
              <a:srgbClr val="FEC800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'Consommation Électricité'!$B$2:$K$2</c:f>
              <c:numCache>
                <c:formatCode>0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'Consommation Électricité'!$B$6:$K$6</c:f>
              <c:numCache>
                <c:formatCode>#,##0</c:formatCode>
                <c:ptCount val="10"/>
                <c:pt idx="0">
                  <c:v>126595.01600000005</c:v>
                </c:pt>
                <c:pt idx="1">
                  <c:v>248305.01600000006</c:v>
                </c:pt>
                <c:pt idx="2">
                  <c:v>126595.01600000005</c:v>
                </c:pt>
                <c:pt idx="3">
                  <c:v>41870.016000000003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09-4832-A0A9-F6863F25AEDC}"/>
            </c:ext>
          </c:extLst>
        </c:ser>
        <c:ser>
          <c:idx val="4"/>
          <c:order val="4"/>
          <c:tx>
            <c:strRef>
              <c:f>'Consommation Électricité'!$A$7</c:f>
              <c:strCache>
                <c:ptCount val="1"/>
                <c:pt idx="0">
                  <c:v>Synchrotrons</c:v>
                </c:pt>
              </c:strCache>
            </c:strRef>
          </c:tx>
          <c:spPr>
            <a:solidFill>
              <a:srgbClr val="FF2600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'Consommation Électricité'!$B$2:$K$2</c:f>
              <c:numCache>
                <c:formatCode>0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'Consommation Électricité'!$B$7:$K$7</c:f>
              <c:numCache>
                <c:formatCode>#,##0</c:formatCode>
                <c:ptCount val="10"/>
                <c:pt idx="0">
                  <c:v>0</c:v>
                </c:pt>
                <c:pt idx="1">
                  <c:v>868200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309-4832-A0A9-F6863F25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41632616"/>
        <c:axId val="488447976"/>
      </c:barChart>
      <c:catAx>
        <c:axId val="241632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488447976"/>
        <c:crosses val="autoZero"/>
        <c:auto val="1"/>
        <c:lblAlgn val="ctr"/>
        <c:lblOffset val="100"/>
        <c:noMultiLvlLbl val="1"/>
      </c:catAx>
      <c:valAx>
        <c:axId val="488447976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241632616"/>
        <c:crosses val="autoZero"/>
        <c:crossBetween val="between"/>
        <c:majorUnit val="450000"/>
        <c:minorUnit val="22500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14458699999999999"/>
          <c:y val="0.88637500000000002"/>
          <c:w val="0.84197100000000002"/>
          <c:h val="0.11362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c:style val="2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</a:defRPr>
            </a:pPr>
            <a:r>
              <a:rPr lang="en-US" sz="1200" b="1" i="0" u="none" strike="noStrike">
                <a:solidFill>
                  <a:srgbClr val="000000"/>
                </a:solidFill>
                <a:latin typeface="Arial"/>
              </a:rPr>
              <a:t>Evolution des émissions de GES (en t eqCO2) par poste d’émissions</a:t>
            </a:r>
          </a:p>
        </c:rich>
      </c:tx>
      <c:layout>
        <c:manualLayout>
          <c:xMode val="edge"/>
          <c:yMode val="edge"/>
          <c:x val="4.7493800000000003E-2"/>
          <c:y val="0"/>
          <c:w val="0.44290200000000002"/>
          <c:h val="5.97612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17537"/>
          <c:y val="5.97612E-2"/>
          <c:w val="0.420352"/>
          <c:h val="0.88507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v>Émissions directes des sources fixes de combustion</c:v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ISTerre'!$I$5,'Bilan GES ISTerre'!$N$5,'Bilan GES ISTerre'!$S$5,'Bilan GES ISTerre'!$X$5,'Bilan GES ISTerre'!$AC$5,'Bilan GES ISTerre'!$AH$5,'Bilan GES ISTerre'!$AM$5,'Bilan GES ISTerre'!$AR$5,'Bilan GES ISTerre'!$AW$5,'Bilan GES ISTerre'!$BB$5)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9-482F-B971-797AFDDBD1ED}"/>
            </c:ext>
          </c:extLst>
        </c:ser>
        <c:ser>
          <c:idx val="1"/>
          <c:order val="1"/>
          <c:tx>
            <c:v>Émissions directes des sources mobiles à moteur thermique</c:v>
          </c:tx>
          <c:spPr>
            <a:solidFill>
              <a:srgbClr val="9437F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ISTerre'!$I$6,'Bilan GES ISTerre'!$N$6,'Bilan GES ISTerre'!$S$6,'Bilan GES ISTerre'!$X$6,'Bilan GES ISTerre'!$AC$6,'Bilan GES ISTerre'!$AH$6,'Bilan GES ISTerre'!$AM$6,'Bilan GES ISTerre'!$AR$6,'Bilan GES ISTerre'!$AW$6,'Bilan GES ISTerre'!$BB$6)</c:f>
              <c:numCache>
                <c:formatCode>0</c:formatCode>
                <c:ptCount val="10"/>
                <c:pt idx="0">
                  <c:v>0</c:v>
                </c:pt>
                <c:pt idx="1">
                  <c:v>12.02008378</c:v>
                </c:pt>
                <c:pt idx="2">
                  <c:v>11.536562399999998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9-482F-B971-797AFDDBD1ED}"/>
            </c:ext>
          </c:extLst>
        </c:ser>
        <c:ser>
          <c:idx val="2"/>
          <c:order val="2"/>
          <c:tx>
            <c:v>Émissions directes fugitives</c:v>
          </c:tx>
          <c:spPr>
            <a:solidFill>
              <a:srgbClr val="00F9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ISTerre'!$I$7,'Bilan GES ISTerre'!$N$7,'Bilan GES ISTerre'!$S$7,'Bilan GES ISTerre'!$X$7,'Bilan GES ISTerre'!$AC$7,'Bilan GES ISTerre'!$AH$7,'Bilan GES ISTerre'!$AM$7,'Bilan GES ISTerre'!$AR$7,'Bilan GES ISTerre'!$AW$7,'Bilan GES ISTerre'!$BB$7)</c:f>
              <c:numCache>
                <c:formatCode>0</c:formatCode>
                <c:ptCount val="10"/>
                <c:pt idx="0">
                  <c:v>18.416159999999998</c:v>
                </c:pt>
                <c:pt idx="1">
                  <c:v>18.416159999999998</c:v>
                </c:pt>
                <c:pt idx="2">
                  <c:v>18.416159999999998</c:v>
                </c:pt>
                <c:pt idx="3">
                  <c:v>18.416159999999998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19-482F-B971-797AFDDBD1ED}"/>
            </c:ext>
          </c:extLst>
        </c:ser>
        <c:ser>
          <c:idx val="3"/>
          <c:order val="3"/>
          <c:tx>
            <c:v>Émissions indirectes liées à la consommation d’électricité</c:v>
          </c:tx>
          <c:spPr>
            <a:solidFill>
              <a:srgbClr val="0000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ISTerre'!$I$9,'Bilan GES ISTerre'!$N$9,'Bilan GES ISTerre'!$S$9,'Bilan GES ISTerre'!$X$9,'Bilan GES ISTerre'!$AC$9,'Bilan GES ISTerre'!$AH$9,'Bilan GES ISTerre'!$AM$9,'Bilan GES ISTerre'!$AR$9,'Bilan GES ISTerre'!$AW$9,'Bilan GES ISTerre'!$BB$9)</c:f>
              <c:numCache>
                <c:formatCode>0</c:formatCode>
                <c:ptCount val="10"/>
                <c:pt idx="0">
                  <c:v>16.352042699999998</c:v>
                </c:pt>
                <c:pt idx="1">
                  <c:v>15.409363128878502</c:v>
                </c:pt>
                <c:pt idx="2">
                  <c:v>0.11786579999999999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19-482F-B971-797AFDDBD1ED}"/>
            </c:ext>
          </c:extLst>
        </c:ser>
        <c:ser>
          <c:idx val="4"/>
          <c:order val="4"/>
          <c:tx>
            <c:v>Emissions indirectes liées à la consommation de vapeur, chaleur ou froid</c:v>
          </c:tx>
          <c:spPr>
            <a:solidFill>
              <a:srgbClr val="FF26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ISTerre'!$I$10,'Bilan GES ISTerre'!$N$10,'Bilan GES ISTerre'!$S$10,'Bilan GES ISTerre'!$X$10,'Bilan GES ISTerre'!$AC$10,'Bilan GES ISTerre'!$AH$10,'Bilan GES ISTerre'!$AM$10,'Bilan GES ISTerre'!$AR$10,'Bilan GES ISTerre'!$AW$10,'Bilan GES ISTerre'!$BB$10)</c:f>
              <c:numCache>
                <c:formatCode>0</c:formatCode>
                <c:ptCount val="10"/>
                <c:pt idx="0">
                  <c:v>68.216935481290278</c:v>
                </c:pt>
                <c:pt idx="1">
                  <c:v>83.234885912404323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19-482F-B971-797AFDDBD1ED}"/>
            </c:ext>
          </c:extLst>
        </c:ser>
        <c:ser>
          <c:idx val="5"/>
          <c:order val="5"/>
          <c:tx>
            <c:v>Emissions liées à l’énergie non incluses dans les postes 1 à 7</c:v>
          </c:tx>
          <c:spPr>
            <a:solidFill>
              <a:srgbClr val="FFFB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000000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ISTerre'!$I$15,'Bilan GES ISTerre'!$N$15,'Bilan GES ISTerre'!$S$15,'Bilan GES ISTerre'!$X$15,'Bilan GES ISTerre'!$AC$15,'Bilan GES ISTerre'!$AH$15,'Bilan GES ISTerre'!$AM$15,'Bilan GES ISTerre'!$AR$15,'Bilan GES ISTerre'!$AW$15,'Bilan GES ISTerre'!$BB$15)</c:f>
              <c:numCache>
                <c:formatCode>0</c:formatCode>
                <c:ptCount val="10"/>
                <c:pt idx="0">
                  <c:v>23.628076857290313</c:v>
                </c:pt>
                <c:pt idx="1">
                  <c:v>29.586397312254675</c:v>
                </c:pt>
                <c:pt idx="2">
                  <c:v>3.0816190800000003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19-482F-B971-797AFDDBD1ED}"/>
            </c:ext>
          </c:extLst>
        </c:ser>
        <c:ser>
          <c:idx val="6"/>
          <c:order val="6"/>
          <c:tx>
            <c:v>Achats de produits ou services</c:v>
          </c:tx>
          <c:spPr>
            <a:solidFill>
              <a:srgbClr val="929292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ISTerre'!$I$18,'Bilan GES ISTerre'!$N$18,'Bilan GES ISTerre'!$S$18,'Bilan GES ISTerre'!$X$18,'Bilan GES ISTerre'!$AC$18,'Bilan GES ISTerre'!$AH$18,'Bilan GES ISTerre'!$AM$18,'Bilan GES ISTerre'!$AR$18,'Bilan GES ISTerre'!$AW$18,'Bilan GES ISTerre'!$BB$18)</c:f>
              <c:numCache>
                <c:formatCode>0</c:formatCode>
                <c:ptCount val="10"/>
                <c:pt idx="0">
                  <c:v>7.2538944168000024</c:v>
                </c:pt>
                <c:pt idx="1">
                  <c:v>63.975737416800001</c:v>
                </c:pt>
                <c:pt idx="2">
                  <c:v>7.2538944168000024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919-482F-B971-797AFDDBD1ED}"/>
            </c:ext>
          </c:extLst>
        </c:ser>
        <c:ser>
          <c:idx val="7"/>
          <c:order val="7"/>
          <c:tx>
            <c:v>Immobilisation des biens</c:v>
          </c:tx>
          <c:spPr>
            <a:solidFill>
              <a:srgbClr val="0096F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ISTerre'!$I$19,'Bilan GES ISTerre'!$N$19,'Bilan GES ISTerre'!$S$19,'Bilan GES ISTerre'!$X$19,'Bilan GES ISTerre'!$AC$19,'Bilan GES ISTerre'!$AH$19,'Bilan GES ISTerre'!$AM$19,'Bilan GES ISTerre'!$AR$19,'Bilan GES ISTerre'!$AW$19,'Bilan GES ISTerre'!$BB$19)</c:f>
              <c:numCache>
                <c:formatCode>0</c:formatCode>
                <c:ptCount val="10"/>
                <c:pt idx="0">
                  <c:v>4.306</c:v>
                </c:pt>
                <c:pt idx="1">
                  <c:v>21.693999999999999</c:v>
                </c:pt>
                <c:pt idx="2">
                  <c:v>16.457999999999998</c:v>
                </c:pt>
                <c:pt idx="3">
                  <c:v>4.306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919-482F-B971-797AFDDBD1ED}"/>
            </c:ext>
          </c:extLst>
        </c:ser>
        <c:ser>
          <c:idx val="8"/>
          <c:order val="8"/>
          <c:tx>
            <c:v>Déplacements professionnels</c:v>
          </c:tx>
          <c:spPr>
            <a:solidFill>
              <a:srgbClr val="9411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FFFFFF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ISTerre'!$I$25,'Bilan GES ISTerre'!$N$25,'Bilan GES ISTerre'!$S$25,'Bilan GES ISTerre'!$X$25,'Bilan GES ISTerre'!$AC$25,'Bilan GES ISTerre'!$AH$25,'Bilan GES ISTerre'!$AM$25,'Bilan GES ISTerre'!$AR$25,'Bilan GES ISTerre'!$AW$25,'Bilan GES ISTerre'!$BB$25)</c:f>
              <c:numCache>
                <c:formatCode>0</c:formatCode>
                <c:ptCount val="10"/>
                <c:pt idx="0">
                  <c:v>0</c:v>
                </c:pt>
                <c:pt idx="1">
                  <c:v>656.74293594000005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19-482F-B971-797AFDDBD1ED}"/>
            </c:ext>
          </c:extLst>
        </c:ser>
        <c:ser>
          <c:idx val="9"/>
          <c:order val="9"/>
          <c:tx>
            <c:v>Déplacements domicile travail</c:v>
          </c:tx>
          <c:spPr>
            <a:solidFill>
              <a:srgbClr val="00FDF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000000"/>
                    </a:solidFill>
                    <a:latin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('Bilan GES ISTerre'!$I$2,'Bilan GES ISTerre'!$N$2,'Bilan GES ISTerre'!$S$2,'Bilan GES ISTerre'!$X$2,'Bilan GES ISTerre'!$AC$2,'Bilan GES ISTerre'!$AH$2,'Bilan GES ISTerre'!$AM$2,'Bilan GES ISTerre'!$AR$2,'Bilan GES ISTerre'!$AW$2,'Bilan GES ISTerre'!$BB$2)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('Bilan GES ISTerre'!$I$37,'Bilan GES ISTerre'!$N$37,'Bilan GES ISTerre'!$S$37,'Bilan GES ISTerre'!$X$37,'Bilan GES ISTerre'!$AC$37,'Bilan GES ISTerre'!$AH$37,'Bilan GES ISTerre'!$AM$37,'Bilan GES ISTerre'!$AR$37,'Bilan GES ISTerre'!$AW$37,'Bilan GES ISTerre'!$BB$37)</c:f>
              <c:numCache>
                <c:formatCode>0</c:formatCode>
                <c:ptCount val="10"/>
                <c:pt idx="0">
                  <c:v>164.51489543344468</c:v>
                </c:pt>
                <c:pt idx="1">
                  <c:v>163.92078777447932</c:v>
                </c:pt>
                <c:pt idx="2">
                  <c:v>158.05919941478527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919-482F-B971-797AFDDBD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88448760"/>
        <c:axId val="488449152"/>
      </c:barChart>
      <c:catAx>
        <c:axId val="48844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sz="1000" b="1" i="0" u="none" strike="noStrike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488449152"/>
        <c:crosses val="autoZero"/>
        <c:auto val="1"/>
        <c:lblAlgn val="ctr"/>
        <c:lblOffset val="100"/>
        <c:noMultiLvlLbl val="1"/>
      </c:catAx>
      <c:valAx>
        <c:axId val="488449152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#,###&quot; tonnes eqCO2&quot;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488448760"/>
        <c:crosses val="autoZero"/>
        <c:crossBetween val="between"/>
        <c:majorUnit val="100"/>
        <c:minorUnit val="50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59265400000000001"/>
          <c:y val="0.40387800000000001"/>
          <c:w val="0.40734599999999999"/>
          <c:h val="0.191619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70611</xdr:colOff>
      <xdr:row>154</xdr:row>
      <xdr:rowOff>145344</xdr:rowOff>
    </xdr:from>
    <xdr:to>
      <xdr:col>10</xdr:col>
      <xdr:colOff>672988</xdr:colOff>
      <xdr:row>182</xdr:row>
      <xdr:rowOff>10630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118</xdr:row>
      <xdr:rowOff>58592</xdr:rowOff>
    </xdr:from>
    <xdr:to>
      <xdr:col>10</xdr:col>
      <xdr:colOff>672988</xdr:colOff>
      <xdr:row>145</xdr:row>
      <xdr:rowOff>74130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103848</xdr:colOff>
      <xdr:row>117</xdr:row>
      <xdr:rowOff>45892</xdr:rowOff>
    </xdr:from>
    <xdr:to>
      <xdr:col>17</xdr:col>
      <xdr:colOff>81824</xdr:colOff>
      <xdr:row>146</xdr:row>
      <xdr:rowOff>142011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273933</xdr:colOff>
      <xdr:row>153</xdr:row>
      <xdr:rowOff>132644</xdr:rowOff>
    </xdr:from>
    <xdr:to>
      <xdr:col>17</xdr:col>
      <xdr:colOff>251909</xdr:colOff>
      <xdr:row>183</xdr:row>
      <xdr:rowOff>78511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462821</xdr:colOff>
      <xdr:row>0</xdr:row>
      <xdr:rowOff>6350</xdr:rowOff>
    </xdr:from>
    <xdr:to>
      <xdr:col>15</xdr:col>
      <xdr:colOff>674267</xdr:colOff>
      <xdr:row>35</xdr:row>
      <xdr:rowOff>50089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3079</xdr:colOff>
      <xdr:row>3</xdr:row>
      <xdr:rowOff>109698</xdr:rowOff>
    </xdr:from>
    <xdr:to>
      <xdr:col>5</xdr:col>
      <xdr:colOff>257079</xdr:colOff>
      <xdr:row>25</xdr:row>
      <xdr:rowOff>151476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195912</xdr:colOff>
      <xdr:row>90</xdr:row>
      <xdr:rowOff>75066</xdr:rowOff>
    </xdr:from>
    <xdr:to>
      <xdr:col>8</xdr:col>
      <xdr:colOff>137124</xdr:colOff>
      <xdr:row>113</xdr:row>
      <xdr:rowOff>149870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747707</xdr:colOff>
      <xdr:row>90</xdr:row>
      <xdr:rowOff>58509</xdr:rowOff>
    </xdr:from>
    <xdr:to>
      <xdr:col>17</xdr:col>
      <xdr:colOff>81824</xdr:colOff>
      <xdr:row>114</xdr:row>
      <xdr:rowOff>117223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195912</xdr:colOff>
      <xdr:row>36</xdr:row>
      <xdr:rowOff>152010</xdr:rowOff>
    </xdr:from>
    <xdr:to>
      <xdr:col>14</xdr:col>
      <xdr:colOff>751798</xdr:colOff>
      <xdr:row>86</xdr:row>
      <xdr:rowOff>32051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lans-ges.ademe.f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2"/>
  <sheetViews>
    <sheetView showGridLines="0" workbookViewId="0">
      <selection sqref="A1:C1"/>
    </sheetView>
  </sheetViews>
  <sheetFormatPr baseColWidth="10" defaultColWidth="16.33203125" defaultRowHeight="19.95" customHeight="1"/>
  <cols>
    <col min="1" max="3" width="28.33203125" style="1" customWidth="1"/>
    <col min="4" max="256" width="16.33203125" style="1" customWidth="1"/>
  </cols>
  <sheetData>
    <row r="1" spans="1:3" ht="49.65" customHeight="1">
      <c r="A1" s="509" t="s">
        <v>0</v>
      </c>
      <c r="B1" s="510"/>
      <c r="C1" s="511"/>
    </row>
    <row r="2" spans="1:3" ht="19.95" customHeight="1">
      <c r="A2" s="512" t="s">
        <v>1</v>
      </c>
      <c r="B2" s="513"/>
      <c r="C2" s="514"/>
    </row>
    <row r="3" spans="1:3" ht="18.899999999999999" customHeight="1">
      <c r="A3" s="505" t="s">
        <v>2</v>
      </c>
      <c r="B3" s="506"/>
      <c r="C3" s="507"/>
    </row>
    <row r="4" spans="1:3" ht="18.899999999999999" customHeight="1">
      <c r="A4" s="505" t="s">
        <v>3</v>
      </c>
      <c r="B4" s="506"/>
      <c r="C4" s="507"/>
    </row>
    <row r="5" spans="1:3" ht="18.899999999999999" customHeight="1">
      <c r="A5" s="505" t="s">
        <v>4</v>
      </c>
      <c r="B5" s="506"/>
      <c r="C5" s="507"/>
    </row>
    <row r="6" spans="1:3" ht="18.899999999999999" customHeight="1">
      <c r="A6" s="505" t="s">
        <v>5</v>
      </c>
      <c r="B6" s="506"/>
      <c r="C6" s="507"/>
    </row>
    <row r="7" spans="1:3" ht="18.899999999999999" customHeight="1">
      <c r="A7" s="508" t="s">
        <v>6</v>
      </c>
      <c r="B7" s="506"/>
      <c r="C7" s="507"/>
    </row>
    <row r="8" spans="1:3" ht="18.899999999999999" customHeight="1">
      <c r="A8" s="505" t="s">
        <v>2</v>
      </c>
      <c r="B8" s="506"/>
      <c r="C8" s="507"/>
    </row>
    <row r="9" spans="1:3" ht="18.899999999999999" customHeight="1">
      <c r="A9" s="505" t="s">
        <v>7</v>
      </c>
      <c r="B9" s="506"/>
      <c r="C9" s="507"/>
    </row>
    <row r="10" spans="1:3" ht="18.899999999999999" customHeight="1">
      <c r="A10" s="508" t="s">
        <v>8</v>
      </c>
      <c r="B10" s="506"/>
      <c r="C10" s="507"/>
    </row>
    <row r="11" spans="1:3" ht="18.899999999999999" customHeight="1">
      <c r="A11" s="505" t="s">
        <v>9</v>
      </c>
      <c r="B11" s="506"/>
      <c r="C11" s="507"/>
    </row>
    <row r="12" spans="1:3" ht="18.899999999999999" customHeight="1">
      <c r="A12" s="505" t="s">
        <v>10</v>
      </c>
      <c r="B12" s="506"/>
      <c r="C12" s="507"/>
    </row>
    <row r="13" spans="1:3" ht="18.899999999999999" customHeight="1">
      <c r="A13" s="508" t="s">
        <v>11</v>
      </c>
      <c r="B13" s="506"/>
      <c r="C13" s="507"/>
    </row>
    <row r="14" spans="1:3" ht="30" customHeight="1">
      <c r="A14" s="505" t="s">
        <v>12</v>
      </c>
      <c r="B14" s="506"/>
      <c r="C14" s="507"/>
    </row>
    <row r="15" spans="1:3" ht="18.899999999999999" customHeight="1">
      <c r="A15" s="508" t="s">
        <v>13</v>
      </c>
      <c r="B15" s="506"/>
      <c r="C15" s="507"/>
    </row>
    <row r="16" spans="1:3" ht="18.899999999999999" customHeight="1">
      <c r="A16" s="505" t="s">
        <v>2</v>
      </c>
      <c r="B16" s="506"/>
      <c r="C16" s="507"/>
    </row>
    <row r="17" spans="1:3" ht="18.899999999999999" customHeight="1">
      <c r="A17" s="508" t="s">
        <v>14</v>
      </c>
      <c r="B17" s="506"/>
      <c r="C17" s="507"/>
    </row>
    <row r="18" spans="1:3" ht="18.899999999999999" customHeight="1">
      <c r="A18" s="505" t="s">
        <v>2</v>
      </c>
      <c r="B18" s="506"/>
      <c r="C18" s="507"/>
    </row>
    <row r="19" spans="1:3" ht="18.899999999999999" customHeight="1">
      <c r="A19" s="508" t="s">
        <v>15</v>
      </c>
      <c r="B19" s="506"/>
      <c r="C19" s="507"/>
    </row>
    <row r="20" spans="1:3" ht="18.899999999999999" customHeight="1">
      <c r="A20" s="505" t="s">
        <v>16</v>
      </c>
      <c r="B20" s="506"/>
      <c r="C20" s="507"/>
    </row>
    <row r="21" spans="1:3" ht="18.899999999999999" customHeight="1">
      <c r="A21" s="508" t="s">
        <v>17</v>
      </c>
      <c r="B21" s="506"/>
      <c r="C21" s="507"/>
    </row>
    <row r="22" spans="1:3" ht="18.899999999999999" customHeight="1">
      <c r="A22" s="505" t="s">
        <v>18</v>
      </c>
      <c r="B22" s="506"/>
      <c r="C22" s="507"/>
    </row>
    <row r="23" spans="1:3" ht="18.899999999999999" customHeight="1">
      <c r="A23" s="505" t="s">
        <v>19</v>
      </c>
      <c r="B23" s="506"/>
      <c r="C23" s="507"/>
    </row>
    <row r="24" spans="1:3" ht="18.899999999999999" customHeight="1">
      <c r="A24" s="508" t="s">
        <v>20</v>
      </c>
      <c r="B24" s="506"/>
      <c r="C24" s="507"/>
    </row>
    <row r="25" spans="1:3" ht="41.1" customHeight="1">
      <c r="A25" s="505" t="s">
        <v>21</v>
      </c>
      <c r="B25" s="506"/>
      <c r="C25" s="507"/>
    </row>
    <row r="26" spans="1:3" ht="30" customHeight="1">
      <c r="A26" s="505" t="s">
        <v>22</v>
      </c>
      <c r="B26" s="506"/>
      <c r="C26" s="507"/>
    </row>
    <row r="27" spans="1:3" ht="30" customHeight="1">
      <c r="A27" s="505" t="s">
        <v>23</v>
      </c>
      <c r="B27" s="506"/>
      <c r="C27" s="507"/>
    </row>
    <row r="28" spans="1:3" ht="18.899999999999999" customHeight="1">
      <c r="A28" s="508" t="s">
        <v>24</v>
      </c>
      <c r="B28" s="506"/>
      <c r="C28" s="507"/>
    </row>
    <row r="29" spans="1:3" ht="18.899999999999999" customHeight="1">
      <c r="A29" s="505" t="s">
        <v>25</v>
      </c>
      <c r="B29" s="506"/>
      <c r="C29" s="507"/>
    </row>
    <row r="30" spans="1:3" ht="18.899999999999999" customHeight="1">
      <c r="A30" s="508" t="s">
        <v>26</v>
      </c>
      <c r="B30" s="506"/>
      <c r="C30" s="507"/>
    </row>
    <row r="31" spans="1:3" ht="18.899999999999999" customHeight="1">
      <c r="A31" s="505" t="s">
        <v>2</v>
      </c>
      <c r="B31" s="506"/>
      <c r="C31" s="507"/>
    </row>
    <row r="32" spans="1:3" ht="20.85" customHeight="1">
      <c r="A32" s="502"/>
      <c r="B32" s="503"/>
      <c r="C32" s="504"/>
    </row>
  </sheetData>
  <sheetProtection algorithmName="SHA-512" hashValue="Gwe8VPtWAI5UKZY3OyO+PUcSrt2IZugcswXQ22QTARFBHHTOO5rAC+vtbSXLfG0n9Y4zyXuVW8tOEgsb2PwJbA==" saltValue="515S6IbqwumKD8oeoXGaiw==" spinCount="100000" sheet="1" objects="1" scenarios="1"/>
  <mergeCells count="32">
    <mergeCell ref="A1:C1"/>
    <mergeCell ref="A2:C2"/>
    <mergeCell ref="A7:C7"/>
    <mergeCell ref="A10:C10"/>
    <mergeCell ref="A13:C13"/>
    <mergeCell ref="A3:C3"/>
    <mergeCell ref="A11:C11"/>
    <mergeCell ref="A12:C12"/>
    <mergeCell ref="A14:C14"/>
    <mergeCell ref="A20:C20"/>
    <mergeCell ref="A22:C22"/>
    <mergeCell ref="A15:C15"/>
    <mergeCell ref="A16:C16"/>
    <mergeCell ref="A4:C4"/>
    <mergeCell ref="A5:C5"/>
    <mergeCell ref="A6:C6"/>
    <mergeCell ref="A8:C8"/>
    <mergeCell ref="A9:C9"/>
    <mergeCell ref="A18:C18"/>
    <mergeCell ref="A17:C17"/>
    <mergeCell ref="A27:C27"/>
    <mergeCell ref="A25:C25"/>
    <mergeCell ref="A26:C26"/>
    <mergeCell ref="A19:C19"/>
    <mergeCell ref="A21:C21"/>
    <mergeCell ref="A24:C24"/>
    <mergeCell ref="A32:C32"/>
    <mergeCell ref="A23:C23"/>
    <mergeCell ref="A29:C29"/>
    <mergeCell ref="A30:C30"/>
    <mergeCell ref="A31:C31"/>
    <mergeCell ref="A28:C28"/>
  </mergeCells>
  <hyperlinks>
    <hyperlink ref="A11" r:id="rId1" display="http://www.bilans-ges.ademe.fr/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workbookViewId="0">
      <pane xSplit="2" ySplit="1" topLeftCell="C2" activePane="bottomRight" state="frozen"/>
      <selection pane="topRight"/>
      <selection pane="bottomLeft"/>
      <selection pane="bottomRight" activeCell="C1" sqref="C1:E1"/>
    </sheetView>
  </sheetViews>
  <sheetFormatPr baseColWidth="10" defaultColWidth="16.33203125" defaultRowHeight="19.95" customHeight="1"/>
  <cols>
    <col min="1" max="1" width="17.44140625" style="291" customWidth="1"/>
    <col min="2" max="2" width="16.33203125" style="291" customWidth="1"/>
    <col min="3" max="32" width="16.109375" style="291" customWidth="1"/>
    <col min="33" max="256" width="16.33203125" style="291" customWidth="1"/>
  </cols>
  <sheetData>
    <row r="1" spans="1:32" ht="68.25" customHeight="1">
      <c r="A1" s="729" t="s">
        <v>254</v>
      </c>
      <c r="B1" s="559"/>
      <c r="C1" s="699">
        <v>2016</v>
      </c>
      <c r="D1" s="558"/>
      <c r="E1" s="559"/>
      <c r="F1" s="699">
        <v>2017</v>
      </c>
      <c r="G1" s="558"/>
      <c r="H1" s="559"/>
      <c r="I1" s="699">
        <v>2018</v>
      </c>
      <c r="J1" s="558"/>
      <c r="K1" s="559"/>
      <c r="L1" s="699">
        <v>2019</v>
      </c>
      <c r="M1" s="558"/>
      <c r="N1" s="559"/>
      <c r="O1" s="699">
        <v>2020</v>
      </c>
      <c r="P1" s="558"/>
      <c r="Q1" s="559"/>
      <c r="R1" s="699">
        <v>2021</v>
      </c>
      <c r="S1" s="558"/>
      <c r="T1" s="559"/>
      <c r="U1" s="699">
        <v>2022</v>
      </c>
      <c r="V1" s="558"/>
      <c r="W1" s="559"/>
      <c r="X1" s="699">
        <v>2023</v>
      </c>
      <c r="Y1" s="558"/>
      <c r="Z1" s="559"/>
      <c r="AA1" s="699">
        <v>2024</v>
      </c>
      <c r="AB1" s="558"/>
      <c r="AC1" s="559"/>
      <c r="AD1" s="699">
        <v>2025</v>
      </c>
      <c r="AE1" s="558"/>
      <c r="AF1" s="559"/>
    </row>
    <row r="2" spans="1:32" ht="23.1" customHeight="1">
      <c r="A2" s="725" t="s">
        <v>255</v>
      </c>
      <c r="B2" s="721"/>
      <c r="C2" s="692" t="s">
        <v>256</v>
      </c>
      <c r="D2" s="693"/>
      <c r="E2" s="674"/>
      <c r="F2" s="692" t="s">
        <v>256</v>
      </c>
      <c r="G2" s="694"/>
      <c r="H2" s="695"/>
      <c r="I2" s="692" t="s">
        <v>256</v>
      </c>
      <c r="J2" s="694"/>
      <c r="K2" s="695"/>
      <c r="L2" s="692" t="s">
        <v>256</v>
      </c>
      <c r="M2" s="694"/>
      <c r="N2" s="695"/>
      <c r="O2" s="692" t="s">
        <v>256</v>
      </c>
      <c r="P2" s="694"/>
      <c r="Q2" s="695"/>
      <c r="R2" s="692" t="s">
        <v>256</v>
      </c>
      <c r="S2" s="694"/>
      <c r="T2" s="695"/>
      <c r="U2" s="692" t="s">
        <v>256</v>
      </c>
      <c r="V2" s="694"/>
      <c r="W2" s="695"/>
      <c r="X2" s="692" t="s">
        <v>256</v>
      </c>
      <c r="Y2" s="694"/>
      <c r="Z2" s="695"/>
      <c r="AA2" s="692" t="s">
        <v>256</v>
      </c>
      <c r="AB2" s="694"/>
      <c r="AC2" s="695"/>
      <c r="AD2" s="692" t="s">
        <v>256</v>
      </c>
      <c r="AE2" s="694"/>
      <c r="AF2" s="695"/>
    </row>
    <row r="3" spans="1:32" ht="22.35" customHeight="1">
      <c r="A3" s="726" t="s">
        <v>257</v>
      </c>
      <c r="B3" s="727"/>
      <c r="C3" s="292"/>
      <c r="D3" s="293"/>
      <c r="E3" s="294"/>
      <c r="F3" s="292"/>
      <c r="G3" s="293"/>
      <c r="H3" s="294"/>
      <c r="I3" s="292"/>
      <c r="J3" s="293"/>
      <c r="K3" s="294"/>
      <c r="L3" s="292"/>
      <c r="M3" s="293"/>
      <c r="N3" s="294"/>
      <c r="O3" s="292"/>
      <c r="P3" s="293"/>
      <c r="Q3" s="294"/>
      <c r="R3" s="292"/>
      <c r="S3" s="293"/>
      <c r="T3" s="294"/>
      <c r="U3" s="292"/>
      <c r="V3" s="293"/>
      <c r="W3" s="294"/>
      <c r="X3" s="705"/>
      <c r="Y3" s="706"/>
      <c r="Z3" s="662"/>
      <c r="AA3" s="292"/>
      <c r="AB3" s="293"/>
      <c r="AC3" s="294"/>
      <c r="AD3" s="292"/>
      <c r="AE3" s="293"/>
      <c r="AF3" s="294"/>
    </row>
    <row r="4" spans="1:32" ht="21.9" customHeight="1">
      <c r="A4" s="717" t="s">
        <v>258</v>
      </c>
      <c r="B4" s="618"/>
      <c r="C4" s="684">
        <v>7289</v>
      </c>
      <c r="D4" s="685"/>
      <c r="E4" s="686"/>
      <c r="F4" s="684">
        <v>7289</v>
      </c>
      <c r="G4" s="685"/>
      <c r="H4" s="686"/>
      <c r="I4" s="684">
        <v>7289</v>
      </c>
      <c r="J4" s="685"/>
      <c r="K4" s="686"/>
      <c r="L4" s="684">
        <v>7289</v>
      </c>
      <c r="M4" s="685"/>
      <c r="N4" s="686"/>
      <c r="O4" s="684"/>
      <c r="P4" s="685"/>
      <c r="Q4" s="686"/>
      <c r="R4" s="684"/>
      <c r="S4" s="685"/>
      <c r="T4" s="686"/>
      <c r="U4" s="684"/>
      <c r="V4" s="685"/>
      <c r="W4" s="686"/>
      <c r="X4" s="709"/>
      <c r="Y4" s="710"/>
      <c r="Z4" s="711"/>
      <c r="AA4" s="684"/>
      <c r="AB4" s="685"/>
      <c r="AC4" s="686"/>
      <c r="AD4" s="684"/>
      <c r="AE4" s="685"/>
      <c r="AF4" s="686"/>
    </row>
    <row r="5" spans="1:32" ht="21.9" customHeight="1">
      <c r="A5" s="728" t="s">
        <v>259</v>
      </c>
      <c r="B5" s="618"/>
      <c r="C5" s="295"/>
      <c r="D5" s="296"/>
      <c r="E5" s="297"/>
      <c r="F5" s="295"/>
      <c r="G5" s="296"/>
      <c r="H5" s="297"/>
      <c r="I5" s="295"/>
      <c r="J5" s="296"/>
      <c r="K5" s="297"/>
      <c r="L5" s="295"/>
      <c r="M5" s="296"/>
      <c r="N5" s="297"/>
      <c r="O5" s="295"/>
      <c r="P5" s="296"/>
      <c r="Q5" s="297"/>
      <c r="R5" s="295"/>
      <c r="S5" s="296"/>
      <c r="T5" s="297"/>
      <c r="U5" s="295"/>
      <c r="V5" s="296"/>
      <c r="W5" s="297"/>
      <c r="X5" s="707"/>
      <c r="Y5" s="708"/>
      <c r="Z5" s="507"/>
      <c r="AA5" s="295"/>
      <c r="AB5" s="296"/>
      <c r="AC5" s="297"/>
      <c r="AD5" s="295"/>
      <c r="AE5" s="296"/>
      <c r="AF5" s="297"/>
    </row>
    <row r="6" spans="1:32" ht="21.9" customHeight="1">
      <c r="A6" s="717" t="s">
        <v>258</v>
      </c>
      <c r="B6" s="618"/>
      <c r="C6" s="684">
        <v>1279</v>
      </c>
      <c r="D6" s="685"/>
      <c r="E6" s="686"/>
      <c r="F6" s="684">
        <v>1279</v>
      </c>
      <c r="G6" s="685"/>
      <c r="H6" s="686"/>
      <c r="I6" s="684">
        <v>1279</v>
      </c>
      <c r="J6" s="685"/>
      <c r="K6" s="686"/>
      <c r="L6" s="684">
        <v>1279</v>
      </c>
      <c r="M6" s="685"/>
      <c r="N6" s="686"/>
      <c r="O6" s="684"/>
      <c r="P6" s="685"/>
      <c r="Q6" s="686"/>
      <c r="R6" s="684"/>
      <c r="S6" s="685"/>
      <c r="T6" s="686"/>
      <c r="U6" s="684"/>
      <c r="V6" s="685"/>
      <c r="W6" s="686"/>
      <c r="X6" s="687"/>
      <c r="Y6" s="688"/>
      <c r="Z6" s="686"/>
      <c r="AA6" s="684"/>
      <c r="AB6" s="685"/>
      <c r="AC6" s="686"/>
      <c r="AD6" s="684"/>
      <c r="AE6" s="685"/>
      <c r="AF6" s="686"/>
    </row>
    <row r="7" spans="1:32" ht="21.9" customHeight="1">
      <c r="A7" s="717" t="s">
        <v>260</v>
      </c>
      <c r="B7" s="618"/>
      <c r="C7" s="687">
        <f t="shared" ref="C7:L7" si="0">130*24*24*365*1.8/1000*0.1</f>
        <v>4919.6160000000009</v>
      </c>
      <c r="D7" s="688"/>
      <c r="E7" s="686"/>
      <c r="F7" s="687">
        <f t="shared" si="0"/>
        <v>4919.6160000000009</v>
      </c>
      <c r="G7" s="688"/>
      <c r="H7" s="686"/>
      <c r="I7" s="687">
        <f t="shared" si="0"/>
        <v>4919.6160000000009</v>
      </c>
      <c r="J7" s="688"/>
      <c r="K7" s="686"/>
      <c r="L7" s="687">
        <f t="shared" si="0"/>
        <v>4919.6160000000009</v>
      </c>
      <c r="M7" s="688"/>
      <c r="N7" s="686"/>
      <c r="O7" s="687"/>
      <c r="P7" s="688"/>
      <c r="Q7" s="686"/>
      <c r="R7" s="687"/>
      <c r="S7" s="688"/>
      <c r="T7" s="686"/>
      <c r="U7" s="687"/>
      <c r="V7" s="688"/>
      <c r="W7" s="686"/>
      <c r="X7" s="687"/>
      <c r="Y7" s="688"/>
      <c r="Z7" s="686"/>
      <c r="AA7" s="687"/>
      <c r="AB7" s="688"/>
      <c r="AC7" s="686"/>
      <c r="AD7" s="687"/>
      <c r="AE7" s="688"/>
      <c r="AF7" s="686"/>
    </row>
    <row r="8" spans="1:32" ht="34.5" customHeight="1">
      <c r="A8" s="716" t="s">
        <v>261</v>
      </c>
      <c r="B8" s="619"/>
      <c r="C8" s="689">
        <f t="shared" ref="C8:L8" si="1">200*9*24*365*1.8/1000</f>
        <v>28382.400000000001</v>
      </c>
      <c r="D8" s="690"/>
      <c r="E8" s="691"/>
      <c r="F8" s="689">
        <f t="shared" si="1"/>
        <v>28382.400000000001</v>
      </c>
      <c r="G8" s="690"/>
      <c r="H8" s="691"/>
      <c r="I8" s="689">
        <f t="shared" si="1"/>
        <v>28382.400000000001</v>
      </c>
      <c r="J8" s="690"/>
      <c r="K8" s="691"/>
      <c r="L8" s="689">
        <f t="shared" si="1"/>
        <v>28382.400000000001</v>
      </c>
      <c r="M8" s="690"/>
      <c r="N8" s="691"/>
      <c r="O8" s="689"/>
      <c r="P8" s="690"/>
      <c r="Q8" s="691"/>
      <c r="R8" s="689"/>
      <c r="S8" s="690"/>
      <c r="T8" s="691"/>
      <c r="U8" s="689"/>
      <c r="V8" s="690"/>
      <c r="W8" s="691"/>
      <c r="X8" s="703"/>
      <c r="Y8" s="704"/>
      <c r="Z8" s="691"/>
      <c r="AA8" s="689"/>
      <c r="AB8" s="690"/>
      <c r="AC8" s="691"/>
      <c r="AD8" s="689"/>
      <c r="AE8" s="690"/>
      <c r="AF8" s="691"/>
    </row>
    <row r="9" spans="1:32" ht="52.5" customHeight="1">
      <c r="A9" s="712" t="s">
        <v>262</v>
      </c>
      <c r="B9" s="713"/>
      <c r="C9" s="701">
        <f>C4+C6+C7+C8</f>
        <v>41870.016000000003</v>
      </c>
      <c r="D9" s="697"/>
      <c r="E9" s="698"/>
      <c r="F9" s="701">
        <f>F4+F6+F7+F8</f>
        <v>41870.016000000003</v>
      </c>
      <c r="G9" s="697"/>
      <c r="H9" s="698"/>
      <c r="I9" s="701">
        <f>I4+I6+I7+I8</f>
        <v>41870.016000000003</v>
      </c>
      <c r="J9" s="697"/>
      <c r="K9" s="698"/>
      <c r="L9" s="701">
        <f>L4+L6+L7+L8</f>
        <v>41870.016000000003</v>
      </c>
      <c r="M9" s="697"/>
      <c r="N9" s="698"/>
      <c r="O9" s="701">
        <f>O4+O6+O7+O8</f>
        <v>0</v>
      </c>
      <c r="P9" s="697"/>
      <c r="Q9" s="698"/>
      <c r="R9" s="701">
        <f>R4+R6+R7+R8</f>
        <v>0</v>
      </c>
      <c r="S9" s="697"/>
      <c r="T9" s="698"/>
      <c r="U9" s="701">
        <f>U4+U6+U7+U8</f>
        <v>0</v>
      </c>
      <c r="V9" s="697"/>
      <c r="W9" s="698"/>
      <c r="X9" s="701">
        <f>X4+X6+X7+X8</f>
        <v>0</v>
      </c>
      <c r="Y9" s="697"/>
      <c r="Z9" s="698"/>
      <c r="AA9" s="701">
        <f>AA4+AA6+AA7+AA8</f>
        <v>0</v>
      </c>
      <c r="AB9" s="697"/>
      <c r="AC9" s="698"/>
      <c r="AD9" s="701">
        <f>AD4+AD6+AD7+AD8</f>
        <v>0</v>
      </c>
      <c r="AE9" s="697"/>
      <c r="AF9" s="698"/>
    </row>
    <row r="10" spans="1:32" ht="23.7" customHeight="1">
      <c r="A10" s="718"/>
      <c r="B10" s="719"/>
      <c r="C10" s="700"/>
      <c r="D10" s="643"/>
      <c r="E10" s="643"/>
      <c r="F10" s="700"/>
      <c r="G10" s="643"/>
      <c r="H10" s="643"/>
      <c r="I10" s="700"/>
      <c r="J10" s="643"/>
      <c r="K10" s="643"/>
      <c r="L10" s="700"/>
      <c r="M10" s="643"/>
      <c r="N10" s="643"/>
      <c r="O10" s="700"/>
      <c r="P10" s="643"/>
      <c r="Q10" s="643"/>
      <c r="R10" s="700"/>
      <c r="S10" s="643"/>
      <c r="T10" s="643"/>
      <c r="U10" s="700"/>
      <c r="V10" s="643"/>
      <c r="W10" s="643"/>
      <c r="X10" s="700"/>
      <c r="Y10" s="643"/>
      <c r="Z10" s="643"/>
      <c r="AA10" s="700"/>
      <c r="AB10" s="643"/>
      <c r="AC10" s="643"/>
      <c r="AD10" s="700"/>
      <c r="AE10" s="643"/>
      <c r="AF10" s="643"/>
    </row>
    <row r="11" spans="1:32" ht="78" customHeight="1">
      <c r="A11" s="725" t="s">
        <v>263</v>
      </c>
      <c r="B11" s="721"/>
      <c r="C11" s="376" t="s">
        <v>264</v>
      </c>
      <c r="D11" s="298" t="s">
        <v>265</v>
      </c>
      <c r="E11" s="299" t="s">
        <v>266</v>
      </c>
      <c r="F11" s="376" t="s">
        <v>264</v>
      </c>
      <c r="G11" s="298" t="s">
        <v>265</v>
      </c>
      <c r="H11" s="299" t="s">
        <v>266</v>
      </c>
      <c r="I11" s="376" t="s">
        <v>264</v>
      </c>
      <c r="J11" s="298" t="s">
        <v>265</v>
      </c>
      <c r="K11" s="299" t="s">
        <v>266</v>
      </c>
      <c r="L11" s="376" t="s">
        <v>264</v>
      </c>
      <c r="M11" s="298" t="s">
        <v>265</v>
      </c>
      <c r="N11" s="299" t="s">
        <v>266</v>
      </c>
      <c r="O11" s="376" t="s">
        <v>264</v>
      </c>
      <c r="P11" s="298" t="s">
        <v>265</v>
      </c>
      <c r="Q11" s="299" t="s">
        <v>266</v>
      </c>
      <c r="R11" s="376" t="s">
        <v>264</v>
      </c>
      <c r="S11" s="298" t="s">
        <v>265</v>
      </c>
      <c r="T11" s="299" t="s">
        <v>266</v>
      </c>
      <c r="U11" s="376" t="s">
        <v>264</v>
      </c>
      <c r="V11" s="298" t="s">
        <v>265</v>
      </c>
      <c r="W11" s="299" t="s">
        <v>266</v>
      </c>
      <c r="X11" s="376" t="s">
        <v>264</v>
      </c>
      <c r="Y11" s="298" t="s">
        <v>265</v>
      </c>
      <c r="Z11" s="299" t="s">
        <v>266</v>
      </c>
      <c r="AA11" s="376" t="s">
        <v>264</v>
      </c>
      <c r="AB11" s="298" t="s">
        <v>265</v>
      </c>
      <c r="AC11" s="299" t="s">
        <v>266</v>
      </c>
      <c r="AD11" s="376" t="s">
        <v>264</v>
      </c>
      <c r="AE11" s="298" t="s">
        <v>265</v>
      </c>
      <c r="AF11" s="299" t="s">
        <v>266</v>
      </c>
    </row>
    <row r="12" spans="1:32" ht="22.35" customHeight="1">
      <c r="A12" s="730" t="s">
        <v>257</v>
      </c>
      <c r="B12" s="727"/>
      <c r="C12" s="300"/>
      <c r="D12" s="301"/>
      <c r="E12" s="302"/>
      <c r="F12" s="300"/>
      <c r="G12" s="301"/>
      <c r="H12" s="302"/>
      <c r="I12" s="300"/>
      <c r="J12" s="301"/>
      <c r="K12" s="302"/>
      <c r="L12" s="300"/>
      <c r="M12" s="301"/>
      <c r="N12" s="302"/>
      <c r="O12" s="300"/>
      <c r="P12" s="301"/>
      <c r="Q12" s="302"/>
      <c r="R12" s="300"/>
      <c r="S12" s="301"/>
      <c r="T12" s="302"/>
      <c r="U12" s="300"/>
      <c r="V12" s="301"/>
      <c r="W12" s="293"/>
      <c r="X12" s="293"/>
      <c r="Y12" s="301"/>
      <c r="Z12" s="302"/>
      <c r="AA12" s="300"/>
      <c r="AB12" s="301"/>
      <c r="AC12" s="302"/>
      <c r="AD12" s="300"/>
      <c r="AE12" s="301"/>
      <c r="AF12" s="302"/>
    </row>
    <row r="13" spans="1:32" ht="50.25" customHeight="1">
      <c r="A13" s="373" t="s">
        <v>267</v>
      </c>
      <c r="B13" s="303" t="s">
        <v>268</v>
      </c>
      <c r="C13" s="493">
        <v>3401246.3333333302</v>
      </c>
      <c r="D13" s="383">
        <v>2.4909986427524299E-2</v>
      </c>
      <c r="E13" s="190">
        <f>C13*D13</f>
        <v>84725.000000000044</v>
      </c>
      <c r="F13" s="493">
        <v>3401246.3333333302</v>
      </c>
      <c r="G13" s="383">
        <v>2.4909986427524299E-2</v>
      </c>
      <c r="H13" s="190">
        <f>F13*G13</f>
        <v>84725.000000000044</v>
      </c>
      <c r="I13" s="493">
        <v>3401246.3333333302</v>
      </c>
      <c r="J13" s="383">
        <v>2.4909986427524299E-2</v>
      </c>
      <c r="K13" s="190">
        <f>I13*J13</f>
        <v>84725.000000000044</v>
      </c>
      <c r="L13" s="493"/>
      <c r="M13" s="383"/>
      <c r="N13" s="190">
        <f>L13*M13</f>
        <v>0</v>
      </c>
      <c r="O13" s="493"/>
      <c r="P13" s="383"/>
      <c r="Q13" s="190">
        <f>O13*P13</f>
        <v>0</v>
      </c>
      <c r="R13" s="493"/>
      <c r="S13" s="383"/>
      <c r="T13" s="190">
        <f>R13*S13</f>
        <v>0</v>
      </c>
      <c r="U13" s="493"/>
      <c r="V13" s="383"/>
      <c r="W13" s="190">
        <f>U13*V13</f>
        <v>0</v>
      </c>
      <c r="X13" s="493"/>
      <c r="Y13" s="383"/>
      <c r="Z13" s="190">
        <f>X13*Y13</f>
        <v>0</v>
      </c>
      <c r="AA13" s="493"/>
      <c r="AB13" s="383"/>
      <c r="AC13" s="190">
        <f>AA13*AB13</f>
        <v>0</v>
      </c>
      <c r="AD13" s="493"/>
      <c r="AE13" s="383"/>
      <c r="AF13" s="190">
        <f>AD13*AE13</f>
        <v>0</v>
      </c>
    </row>
    <row r="14" spans="1:32" ht="21.9" customHeight="1">
      <c r="A14" s="717" t="s">
        <v>269</v>
      </c>
      <c r="B14" s="303" t="s">
        <v>270</v>
      </c>
      <c r="C14" s="493"/>
      <c r="D14" s="383">
        <v>8.9999999999999993E-3</v>
      </c>
      <c r="E14" s="190">
        <f>C14*D14</f>
        <v>0</v>
      </c>
      <c r="F14" s="493">
        <v>9780000</v>
      </c>
      <c r="G14" s="383">
        <v>8.9999999999999993E-3</v>
      </c>
      <c r="H14" s="190">
        <f>F14*G14</f>
        <v>88020</v>
      </c>
      <c r="I14" s="493"/>
      <c r="J14" s="383">
        <v>8.9999999999999993E-3</v>
      </c>
      <c r="K14" s="190">
        <f>I14*J14</f>
        <v>0</v>
      </c>
      <c r="L14" s="493"/>
      <c r="M14" s="383">
        <v>8.9999999999999993E-3</v>
      </c>
      <c r="N14" s="190">
        <f>L14*M14</f>
        <v>0</v>
      </c>
      <c r="O14" s="493"/>
      <c r="P14" s="383"/>
      <c r="Q14" s="190">
        <f>O14*P14</f>
        <v>0</v>
      </c>
      <c r="R14" s="493"/>
      <c r="S14" s="383"/>
      <c r="T14" s="190">
        <f>R14*S14</f>
        <v>0</v>
      </c>
      <c r="U14" s="493"/>
      <c r="V14" s="383"/>
      <c r="W14" s="190">
        <f>U14*V14</f>
        <v>0</v>
      </c>
      <c r="X14" s="493"/>
      <c r="Y14" s="383"/>
      <c r="Z14" s="190">
        <f>X14*Y14</f>
        <v>0</v>
      </c>
      <c r="AA14" s="493"/>
      <c r="AB14" s="383"/>
      <c r="AC14" s="190">
        <f>AA14*AB14</f>
        <v>0</v>
      </c>
      <c r="AD14" s="493"/>
      <c r="AE14" s="383"/>
      <c r="AF14" s="190">
        <f>AD14*AE14</f>
        <v>0</v>
      </c>
    </row>
    <row r="15" spans="1:32" ht="21.9" customHeight="1">
      <c r="A15" s="723"/>
      <c r="B15" s="303" t="s">
        <v>271</v>
      </c>
      <c r="C15" s="493"/>
      <c r="D15" s="383">
        <v>5.7499999999999999E-3</v>
      </c>
      <c r="E15" s="190">
        <f>C15*D15</f>
        <v>0</v>
      </c>
      <c r="F15" s="493">
        <v>600000</v>
      </c>
      <c r="G15" s="383">
        <v>5.7499999999999999E-3</v>
      </c>
      <c r="H15" s="190">
        <f>F15*G15</f>
        <v>3450</v>
      </c>
      <c r="I15" s="493"/>
      <c r="J15" s="383">
        <v>5.7499999999999999E-3</v>
      </c>
      <c r="K15" s="190">
        <f>I15*J15</f>
        <v>0</v>
      </c>
      <c r="L15" s="493"/>
      <c r="M15" s="383">
        <v>5.7499999999999999E-3</v>
      </c>
      <c r="N15" s="190">
        <f>L15*M15</f>
        <v>0</v>
      </c>
      <c r="O15" s="493"/>
      <c r="P15" s="383"/>
      <c r="Q15" s="190">
        <f>O15*P15</f>
        <v>0</v>
      </c>
      <c r="R15" s="493"/>
      <c r="S15" s="383"/>
      <c r="T15" s="190">
        <f>R15*S15</f>
        <v>0</v>
      </c>
      <c r="U15" s="493"/>
      <c r="V15" s="383"/>
      <c r="W15" s="190">
        <f>U15*V15</f>
        <v>0</v>
      </c>
      <c r="X15" s="493"/>
      <c r="Y15" s="383"/>
      <c r="Z15" s="190">
        <f>X15*Y15</f>
        <v>0</v>
      </c>
      <c r="AA15" s="493"/>
      <c r="AB15" s="383"/>
      <c r="AC15" s="190">
        <f>AA15*AB15</f>
        <v>0</v>
      </c>
      <c r="AD15" s="493"/>
      <c r="AE15" s="383"/>
      <c r="AF15" s="190">
        <f>AD15*AE15</f>
        <v>0</v>
      </c>
    </row>
    <row r="16" spans="1:32" ht="22.35" customHeight="1">
      <c r="A16" s="724"/>
      <c r="B16" s="304" t="s">
        <v>272</v>
      </c>
      <c r="C16" s="494"/>
      <c r="D16" s="394">
        <v>2.8000000000000001E-2</v>
      </c>
      <c r="E16" s="305">
        <f>C16*D16</f>
        <v>0</v>
      </c>
      <c r="F16" s="494">
        <v>1080000</v>
      </c>
      <c r="G16" s="394">
        <v>2.8000000000000001E-2</v>
      </c>
      <c r="H16" s="305">
        <f>F16*G16</f>
        <v>30240</v>
      </c>
      <c r="I16" s="494"/>
      <c r="J16" s="394">
        <v>2.8000000000000001E-2</v>
      </c>
      <c r="K16" s="305">
        <f>I16*J16</f>
        <v>0</v>
      </c>
      <c r="L16" s="494"/>
      <c r="M16" s="394">
        <v>2.8000000000000001E-2</v>
      </c>
      <c r="N16" s="305">
        <f>L16*M16</f>
        <v>0</v>
      </c>
      <c r="O16" s="494"/>
      <c r="P16" s="394"/>
      <c r="Q16" s="305">
        <f>O16*P16</f>
        <v>0</v>
      </c>
      <c r="R16" s="494"/>
      <c r="S16" s="394"/>
      <c r="T16" s="305">
        <f>R16*S16</f>
        <v>0</v>
      </c>
      <c r="U16" s="494"/>
      <c r="V16" s="394"/>
      <c r="W16" s="305">
        <f>U16*V16</f>
        <v>0</v>
      </c>
      <c r="X16" s="494"/>
      <c r="Y16" s="394"/>
      <c r="Z16" s="305">
        <f>X16*Y16</f>
        <v>0</v>
      </c>
      <c r="AA16" s="494"/>
      <c r="AB16" s="394"/>
      <c r="AC16" s="305">
        <f>AA16*AB16</f>
        <v>0</v>
      </c>
      <c r="AD16" s="494"/>
      <c r="AE16" s="394"/>
      <c r="AF16" s="305">
        <f>AD16*AE16</f>
        <v>0</v>
      </c>
    </row>
    <row r="17" spans="1:32" ht="56.25" customHeight="1">
      <c r="A17" s="712" t="s">
        <v>262</v>
      </c>
      <c r="B17" s="713"/>
      <c r="C17" s="701">
        <f>SUM(E13:E16)</f>
        <v>84725.000000000044</v>
      </c>
      <c r="D17" s="697"/>
      <c r="E17" s="698"/>
      <c r="F17" s="701">
        <f>SUM(H13:H16)</f>
        <v>206435.00000000006</v>
      </c>
      <c r="G17" s="697"/>
      <c r="H17" s="698"/>
      <c r="I17" s="701">
        <f>SUM(K13:K16)</f>
        <v>84725.000000000044</v>
      </c>
      <c r="J17" s="697"/>
      <c r="K17" s="698"/>
      <c r="L17" s="701">
        <f>SUM(N13:N16)</f>
        <v>0</v>
      </c>
      <c r="M17" s="697"/>
      <c r="N17" s="698"/>
      <c r="O17" s="701">
        <f>SUM(Q13:Q16)</f>
        <v>0</v>
      </c>
      <c r="P17" s="697"/>
      <c r="Q17" s="698"/>
      <c r="R17" s="701">
        <f>SUM(T13:T16)</f>
        <v>0</v>
      </c>
      <c r="S17" s="697"/>
      <c r="T17" s="698"/>
      <c r="U17" s="701">
        <f>SUM(W13:W16)</f>
        <v>0</v>
      </c>
      <c r="V17" s="697"/>
      <c r="W17" s="698"/>
      <c r="X17" s="701">
        <f>SUM(Z13:Z16)</f>
        <v>0</v>
      </c>
      <c r="Y17" s="697"/>
      <c r="Z17" s="698"/>
      <c r="AA17" s="701">
        <f>SUM(AC13:AC16)</f>
        <v>0</v>
      </c>
      <c r="AB17" s="697"/>
      <c r="AC17" s="698"/>
      <c r="AD17" s="701">
        <f>SUM(AF13:AF16)</f>
        <v>0</v>
      </c>
      <c r="AE17" s="697"/>
      <c r="AF17" s="698"/>
    </row>
    <row r="18" spans="1:32" ht="23.7" customHeight="1">
      <c r="A18" s="718"/>
      <c r="B18" s="719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</row>
    <row r="19" spans="1:32" ht="51.6" customHeight="1">
      <c r="A19" s="722" t="s">
        <v>273</v>
      </c>
      <c r="B19" s="541"/>
      <c r="C19" s="702">
        <f>SUM(C9,C17)</f>
        <v>126595.01600000005</v>
      </c>
      <c r="D19" s="510"/>
      <c r="E19" s="511"/>
      <c r="F19" s="702">
        <f>SUM(F9,F17)</f>
        <v>248305.01600000006</v>
      </c>
      <c r="G19" s="510"/>
      <c r="H19" s="511"/>
      <c r="I19" s="702">
        <f>SUM(I9,I17)</f>
        <v>126595.01600000005</v>
      </c>
      <c r="J19" s="510"/>
      <c r="K19" s="511"/>
      <c r="L19" s="702">
        <f>SUM(L9,L17)</f>
        <v>41870.016000000003</v>
      </c>
      <c r="M19" s="510"/>
      <c r="N19" s="511"/>
      <c r="O19" s="702">
        <f>SUM(O9,O17)</f>
        <v>0</v>
      </c>
      <c r="P19" s="510"/>
      <c r="Q19" s="511"/>
      <c r="R19" s="702">
        <f>SUM(R9,R17)</f>
        <v>0</v>
      </c>
      <c r="S19" s="510"/>
      <c r="T19" s="511"/>
      <c r="U19" s="702">
        <f>SUM(U9,U17)</f>
        <v>0</v>
      </c>
      <c r="V19" s="510"/>
      <c r="W19" s="511"/>
      <c r="X19" s="702">
        <f>SUM(X9,X17)</f>
        <v>0</v>
      </c>
      <c r="Y19" s="510"/>
      <c r="Z19" s="511"/>
      <c r="AA19" s="702">
        <f>SUM(AA9,AA17)</f>
        <v>0</v>
      </c>
      <c r="AB19" s="510"/>
      <c r="AC19" s="511"/>
      <c r="AD19" s="702">
        <f>SUM(AD9,AD17)</f>
        <v>0</v>
      </c>
      <c r="AE19" s="510"/>
      <c r="AF19" s="511"/>
    </row>
    <row r="20" spans="1:32" ht="23.7" customHeight="1">
      <c r="A20" s="718"/>
      <c r="B20" s="719"/>
      <c r="C20" s="306"/>
      <c r="D20" s="306"/>
      <c r="E20" s="306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374"/>
    </row>
    <row r="21" spans="1:32" ht="69.150000000000006" customHeight="1">
      <c r="A21" s="720" t="s">
        <v>274</v>
      </c>
      <c r="B21" s="721"/>
      <c r="C21" s="307" t="s">
        <v>275</v>
      </c>
      <c r="D21" s="308" t="s">
        <v>276</v>
      </c>
      <c r="E21" s="309" t="s">
        <v>277</v>
      </c>
      <c r="F21" s="307" t="s">
        <v>275</v>
      </c>
      <c r="G21" s="308" t="s">
        <v>276</v>
      </c>
      <c r="H21" s="309" t="s">
        <v>277</v>
      </c>
      <c r="I21" s="307" t="s">
        <v>275</v>
      </c>
      <c r="J21" s="308" t="s">
        <v>276</v>
      </c>
      <c r="K21" s="309" t="s">
        <v>277</v>
      </c>
      <c r="L21" s="307" t="s">
        <v>275</v>
      </c>
      <c r="M21" s="308" t="s">
        <v>276</v>
      </c>
      <c r="N21" s="309" t="s">
        <v>277</v>
      </c>
      <c r="O21" s="307" t="s">
        <v>275</v>
      </c>
      <c r="P21" s="308" t="s">
        <v>276</v>
      </c>
      <c r="Q21" s="309" t="s">
        <v>277</v>
      </c>
      <c r="R21" s="307" t="s">
        <v>275</v>
      </c>
      <c r="S21" s="308" t="s">
        <v>276</v>
      </c>
      <c r="T21" s="309" t="s">
        <v>277</v>
      </c>
      <c r="U21" s="307" t="s">
        <v>275</v>
      </c>
      <c r="V21" s="308" t="s">
        <v>276</v>
      </c>
      <c r="W21" s="309" t="s">
        <v>277</v>
      </c>
      <c r="X21" s="307" t="s">
        <v>275</v>
      </c>
      <c r="Y21" s="308" t="s">
        <v>276</v>
      </c>
      <c r="Z21" s="309" t="s">
        <v>277</v>
      </c>
      <c r="AA21" s="307" t="s">
        <v>275</v>
      </c>
      <c r="AB21" s="308" t="s">
        <v>276</v>
      </c>
      <c r="AC21" s="309" t="s">
        <v>277</v>
      </c>
      <c r="AD21" s="307" t="s">
        <v>275</v>
      </c>
      <c r="AE21" s="308" t="s">
        <v>276</v>
      </c>
      <c r="AF21" s="309" t="s">
        <v>277</v>
      </c>
    </row>
    <row r="22" spans="1:32" ht="36.6" customHeight="1">
      <c r="A22" s="714" t="s">
        <v>278</v>
      </c>
      <c r="B22" s="715"/>
      <c r="C22" s="488">
        <v>10.029999999999999</v>
      </c>
      <c r="D22" s="489">
        <v>12</v>
      </c>
      <c r="E22" s="490">
        <f>C22*365*D22</f>
        <v>43931.399999999994</v>
      </c>
      <c r="F22" s="488">
        <v>10.029999999999999</v>
      </c>
      <c r="G22" s="489">
        <v>12</v>
      </c>
      <c r="H22" s="490">
        <f>F22*365*G22</f>
        <v>43931.399999999994</v>
      </c>
      <c r="I22" s="488">
        <v>10.029999999999999</v>
      </c>
      <c r="J22" s="489">
        <v>12</v>
      </c>
      <c r="K22" s="490">
        <f>I22*365*J22</f>
        <v>43931.399999999994</v>
      </c>
      <c r="L22" s="488">
        <v>10.029999999999999</v>
      </c>
      <c r="M22" s="489">
        <v>12</v>
      </c>
      <c r="N22" s="490">
        <f>L22*365*M22</f>
        <v>43931.399999999994</v>
      </c>
      <c r="O22" s="491"/>
      <c r="P22" s="492"/>
      <c r="Q22" s="490">
        <f>O22*365*P22</f>
        <v>0</v>
      </c>
      <c r="R22" s="491"/>
      <c r="S22" s="492"/>
      <c r="T22" s="490">
        <f>R22*365*S22</f>
        <v>0</v>
      </c>
      <c r="U22" s="491"/>
      <c r="V22" s="492"/>
      <c r="W22" s="490">
        <f>U22*365*V22</f>
        <v>0</v>
      </c>
      <c r="X22" s="491"/>
      <c r="Y22" s="492"/>
      <c r="Z22" s="490">
        <f>X22*365*Y22</f>
        <v>0</v>
      </c>
      <c r="AA22" s="491"/>
      <c r="AB22" s="492"/>
      <c r="AC22" s="490">
        <f>AA22*365*AB22</f>
        <v>0</v>
      </c>
      <c r="AD22" s="491"/>
      <c r="AE22" s="492"/>
      <c r="AF22" s="490">
        <f>AD22*365*AE22</f>
        <v>0</v>
      </c>
    </row>
    <row r="23" spans="1:32" ht="69.75" customHeight="1">
      <c r="A23" s="712" t="s">
        <v>279</v>
      </c>
      <c r="B23" s="713"/>
      <c r="C23" s="701">
        <f>SUM(E22:E22)</f>
        <v>43931.399999999994</v>
      </c>
      <c r="D23" s="697"/>
      <c r="E23" s="698"/>
      <c r="F23" s="701">
        <f>SUM(H22:H22)</f>
        <v>43931.399999999994</v>
      </c>
      <c r="G23" s="697"/>
      <c r="H23" s="698"/>
      <c r="I23" s="701">
        <f>SUM(K22:K22)</f>
        <v>43931.399999999994</v>
      </c>
      <c r="J23" s="697"/>
      <c r="K23" s="698"/>
      <c r="L23" s="701">
        <f>SUM(N22:N22)</f>
        <v>43931.399999999994</v>
      </c>
      <c r="M23" s="697"/>
      <c r="N23" s="698"/>
      <c r="O23" s="696">
        <f>SUM(Q22:Q22)</f>
        <v>0</v>
      </c>
      <c r="P23" s="697"/>
      <c r="Q23" s="698"/>
      <c r="R23" s="696">
        <f>SUM(T22:T22)</f>
        <v>0</v>
      </c>
      <c r="S23" s="697"/>
      <c r="T23" s="698"/>
      <c r="U23" s="696">
        <f>SUM(W22:W22)</f>
        <v>0</v>
      </c>
      <c r="V23" s="697"/>
      <c r="W23" s="698"/>
      <c r="X23" s="696">
        <f>SUM(Z22:Z22)</f>
        <v>0</v>
      </c>
      <c r="Y23" s="697"/>
      <c r="Z23" s="698"/>
      <c r="AA23" s="696">
        <f>SUM(AC22:AC22)</f>
        <v>0</v>
      </c>
      <c r="AB23" s="697"/>
      <c r="AC23" s="698"/>
      <c r="AD23" s="696">
        <f>SUM(AF22:AF22)</f>
        <v>0</v>
      </c>
      <c r="AE23" s="697"/>
      <c r="AF23" s="698"/>
    </row>
  </sheetData>
  <sheetProtection algorithmName="SHA-512" hashValue="sdU8EcF5h4ipKpL9F6rEKkiH6CP+2LB//pIqH1vQ/U+Z7amXx11iRhPWJ2k0ca+ybGQ/yTE+2O4OBJPR+uqkPg==" saltValue="L8qS7eVeArRxLM6+PDdj4A==" spinCount="100000" sheet="1" objects="1" scenarios="1"/>
  <mergeCells count="132">
    <mergeCell ref="C1:E1"/>
    <mergeCell ref="A14:A16"/>
    <mergeCell ref="A2:B2"/>
    <mergeCell ref="A3:B3"/>
    <mergeCell ref="A5:B5"/>
    <mergeCell ref="A1:B1"/>
    <mergeCell ref="A4:B4"/>
    <mergeCell ref="A6:B6"/>
    <mergeCell ref="A11:B11"/>
    <mergeCell ref="A12:B12"/>
    <mergeCell ref="F1:H1"/>
    <mergeCell ref="I1:K1"/>
    <mergeCell ref="L1:N1"/>
    <mergeCell ref="O1:Q1"/>
    <mergeCell ref="R1:T1"/>
    <mergeCell ref="U1:W1"/>
    <mergeCell ref="A17:B17"/>
    <mergeCell ref="A19:B19"/>
    <mergeCell ref="A9:B9"/>
    <mergeCell ref="A18:B18"/>
    <mergeCell ref="I10:K10"/>
    <mergeCell ref="I17:K17"/>
    <mergeCell ref="I19:K19"/>
    <mergeCell ref="L10:N10"/>
    <mergeCell ref="L17:N17"/>
    <mergeCell ref="L19:N19"/>
    <mergeCell ref="O10:Q10"/>
    <mergeCell ref="O17:Q17"/>
    <mergeCell ref="O19:Q19"/>
    <mergeCell ref="R10:T10"/>
    <mergeCell ref="R17:T17"/>
    <mergeCell ref="R19:T19"/>
    <mergeCell ref="U10:W10"/>
    <mergeCell ref="U17:W17"/>
    <mergeCell ref="R9:T9"/>
    <mergeCell ref="U9:W9"/>
    <mergeCell ref="A20:B20"/>
    <mergeCell ref="C9:E9"/>
    <mergeCell ref="A10:B10"/>
    <mergeCell ref="C10:E10"/>
    <mergeCell ref="C17:E17"/>
    <mergeCell ref="C19:E19"/>
    <mergeCell ref="A21:B21"/>
    <mergeCell ref="F10:H10"/>
    <mergeCell ref="F17:H17"/>
    <mergeCell ref="F19:H19"/>
    <mergeCell ref="A23:B23"/>
    <mergeCell ref="C23:E23"/>
    <mergeCell ref="F23:H23"/>
    <mergeCell ref="I23:K23"/>
    <mergeCell ref="L23:N23"/>
    <mergeCell ref="O23:Q23"/>
    <mergeCell ref="R23:T23"/>
    <mergeCell ref="U23:W23"/>
    <mergeCell ref="X1:Z1"/>
    <mergeCell ref="X23:Z23"/>
    <mergeCell ref="R7:T7"/>
    <mergeCell ref="R8:T8"/>
    <mergeCell ref="U4:W4"/>
    <mergeCell ref="U6:W6"/>
    <mergeCell ref="U7:W7"/>
    <mergeCell ref="U8:W8"/>
    <mergeCell ref="U19:W19"/>
    <mergeCell ref="A22:B22"/>
    <mergeCell ref="A8:B8"/>
    <mergeCell ref="A7:B7"/>
    <mergeCell ref="F9:H9"/>
    <mergeCell ref="I9:K9"/>
    <mergeCell ref="L9:N9"/>
    <mergeCell ref="O9:Q9"/>
    <mergeCell ref="AA1:AC1"/>
    <mergeCell ref="AD1:AF1"/>
    <mergeCell ref="X10:Z10"/>
    <mergeCell ref="X17:Z17"/>
    <mergeCell ref="X19:Z19"/>
    <mergeCell ref="AA10:AC10"/>
    <mergeCell ref="AA17:AC17"/>
    <mergeCell ref="AA19:AC19"/>
    <mergeCell ref="AD10:AF10"/>
    <mergeCell ref="AD17:AF17"/>
    <mergeCell ref="AD19:AF19"/>
    <mergeCell ref="X9:Z9"/>
    <mergeCell ref="AA9:AC9"/>
    <mergeCell ref="AD9:AF9"/>
    <mergeCell ref="X8:Z8"/>
    <mergeCell ref="X3:Z3"/>
    <mergeCell ref="X5:Z5"/>
    <mergeCell ref="X6:Z6"/>
    <mergeCell ref="X7:Z7"/>
    <mergeCell ref="X4:Z4"/>
    <mergeCell ref="AA4:AC4"/>
    <mergeCell ref="AA6:AC6"/>
    <mergeCell ref="AA7:AC7"/>
    <mergeCell ref="AA8:AC8"/>
    <mergeCell ref="AA23:AC23"/>
    <mergeCell ref="AD23:AF23"/>
    <mergeCell ref="F4:H4"/>
    <mergeCell ref="F6:H6"/>
    <mergeCell ref="F7:H7"/>
    <mergeCell ref="F8:H8"/>
    <mergeCell ref="C4:E4"/>
    <mergeCell ref="C6:E6"/>
    <mergeCell ref="C7:E7"/>
    <mergeCell ref="C8:E8"/>
    <mergeCell ref="I4:K4"/>
    <mergeCell ref="I6:K6"/>
    <mergeCell ref="I7:K7"/>
    <mergeCell ref="I8:K8"/>
    <mergeCell ref="L4:N4"/>
    <mergeCell ref="L6:N6"/>
    <mergeCell ref="L7:N7"/>
    <mergeCell ref="L8:N8"/>
    <mergeCell ref="O4:Q4"/>
    <mergeCell ref="O6:Q6"/>
    <mergeCell ref="O7:Q7"/>
    <mergeCell ref="O8:Q8"/>
    <mergeCell ref="R4:T4"/>
    <mergeCell ref="R6:T6"/>
    <mergeCell ref="AD4:AF4"/>
    <mergeCell ref="AD6:AF6"/>
    <mergeCell ref="AD7:AF7"/>
    <mergeCell ref="AD8:AF8"/>
    <mergeCell ref="C2:E2"/>
    <mergeCell ref="F2:H2"/>
    <mergeCell ref="L2:N2"/>
    <mergeCell ref="I2:K2"/>
    <mergeCell ref="AD2:AF2"/>
    <mergeCell ref="AA2:AC2"/>
    <mergeCell ref="X2:Z2"/>
    <mergeCell ref="U2:W2"/>
    <mergeCell ref="R2:T2"/>
    <mergeCell ref="O2:Q2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"/>
  <sheetViews>
    <sheetView showGridLines="0" workbookViewId="0">
      <pane xSplit="1" topLeftCell="B1" activePane="topRight" state="frozen"/>
      <selection pane="topRight" activeCell="D4" sqref="D4"/>
    </sheetView>
  </sheetViews>
  <sheetFormatPr baseColWidth="10" defaultColWidth="16.33203125" defaultRowHeight="19.95" customHeight="1" outlineLevelCol="1"/>
  <cols>
    <col min="1" max="1" width="23.6640625" style="310" customWidth="1"/>
    <col min="2" max="6" width="11.6640625" style="310" customWidth="1" outlineLevel="1"/>
    <col min="7" max="7" width="11.6640625" style="310" customWidth="1"/>
    <col min="8" max="12" width="11.6640625" style="310" customWidth="1" outlineLevel="1"/>
    <col min="13" max="13" width="11.6640625" style="310" customWidth="1"/>
    <col min="14" max="18" width="11.6640625" style="310" customWidth="1" outlineLevel="1"/>
    <col min="19" max="19" width="11.6640625" style="310" customWidth="1"/>
    <col min="20" max="24" width="11.6640625" style="310" customWidth="1" outlineLevel="1"/>
    <col min="25" max="25" width="11.6640625" style="310" customWidth="1"/>
    <col min="26" max="30" width="11.6640625" style="310" customWidth="1" outlineLevel="1"/>
    <col min="31" max="31" width="11.6640625" style="310" customWidth="1"/>
    <col min="32" max="36" width="11.6640625" style="310" customWidth="1" outlineLevel="1"/>
    <col min="37" max="37" width="11.6640625" style="310" customWidth="1"/>
    <col min="38" max="42" width="11.6640625" style="310" customWidth="1" outlineLevel="1"/>
    <col min="43" max="43" width="11.6640625" style="310" customWidth="1"/>
    <col min="44" max="48" width="11.6640625" style="310" customWidth="1" outlineLevel="1"/>
    <col min="49" max="49" width="11.6640625" style="310" customWidth="1"/>
    <col min="50" max="54" width="11.6640625" style="310" customWidth="1" outlineLevel="1"/>
    <col min="55" max="55" width="11.6640625" style="310" customWidth="1"/>
    <col min="56" max="60" width="11.6640625" style="310" customWidth="1" outlineLevel="1"/>
    <col min="61" max="61" width="11.6640625" style="310" customWidth="1"/>
    <col min="62" max="256" width="16.33203125" style="310" customWidth="1"/>
  </cols>
  <sheetData>
    <row r="1" spans="1:61" ht="49.95" customHeight="1">
      <c r="A1" s="287" t="s">
        <v>280</v>
      </c>
      <c r="B1" s="731">
        <v>2016</v>
      </c>
      <c r="C1" s="510"/>
      <c r="D1" s="510"/>
      <c r="E1" s="510"/>
      <c r="F1" s="511"/>
      <c r="G1" s="360">
        <v>2016</v>
      </c>
      <c r="H1" s="731">
        <v>2017</v>
      </c>
      <c r="I1" s="510"/>
      <c r="J1" s="510"/>
      <c r="K1" s="510"/>
      <c r="L1" s="511"/>
      <c r="M1" s="360">
        <v>2017</v>
      </c>
      <c r="N1" s="731">
        <v>2018</v>
      </c>
      <c r="O1" s="510"/>
      <c r="P1" s="510"/>
      <c r="Q1" s="510"/>
      <c r="R1" s="511"/>
      <c r="S1" s="360">
        <v>2018</v>
      </c>
      <c r="T1" s="731">
        <v>2019</v>
      </c>
      <c r="U1" s="510"/>
      <c r="V1" s="510"/>
      <c r="W1" s="510"/>
      <c r="X1" s="511"/>
      <c r="Y1" s="360">
        <v>2019</v>
      </c>
      <c r="Z1" s="731">
        <v>2020</v>
      </c>
      <c r="AA1" s="510"/>
      <c r="AB1" s="510"/>
      <c r="AC1" s="510"/>
      <c r="AD1" s="511"/>
      <c r="AE1" s="360">
        <v>2020</v>
      </c>
      <c r="AF1" s="731">
        <v>2021</v>
      </c>
      <c r="AG1" s="510"/>
      <c r="AH1" s="510"/>
      <c r="AI1" s="510"/>
      <c r="AJ1" s="511"/>
      <c r="AK1" s="360">
        <v>2021</v>
      </c>
      <c r="AL1" s="731">
        <v>2022</v>
      </c>
      <c r="AM1" s="510"/>
      <c r="AN1" s="510"/>
      <c r="AO1" s="510"/>
      <c r="AP1" s="511"/>
      <c r="AQ1" s="360">
        <v>2022</v>
      </c>
      <c r="AR1" s="731">
        <v>2023</v>
      </c>
      <c r="AS1" s="510"/>
      <c r="AT1" s="510"/>
      <c r="AU1" s="510"/>
      <c r="AV1" s="511"/>
      <c r="AW1" s="360">
        <v>2023</v>
      </c>
      <c r="AX1" s="731">
        <v>2024</v>
      </c>
      <c r="AY1" s="510"/>
      <c r="AZ1" s="510"/>
      <c r="BA1" s="510"/>
      <c r="BB1" s="511"/>
      <c r="BC1" s="360">
        <v>2024</v>
      </c>
      <c r="BD1" s="731">
        <v>2025</v>
      </c>
      <c r="BE1" s="510"/>
      <c r="BF1" s="510"/>
      <c r="BG1" s="510"/>
      <c r="BH1" s="511"/>
      <c r="BI1" s="360">
        <v>2025</v>
      </c>
    </row>
    <row r="2" spans="1:61" ht="49.95" customHeight="1">
      <c r="A2" s="311" t="s">
        <v>281</v>
      </c>
      <c r="B2" s="124" t="s">
        <v>282</v>
      </c>
      <c r="C2" s="312" t="s">
        <v>283</v>
      </c>
      <c r="D2" s="312" t="s">
        <v>284</v>
      </c>
      <c r="E2" s="312" t="s">
        <v>285</v>
      </c>
      <c r="F2" s="313" t="s">
        <v>286</v>
      </c>
      <c r="G2" s="314" t="s">
        <v>287</v>
      </c>
      <c r="H2" s="124" t="s">
        <v>282</v>
      </c>
      <c r="I2" s="312" t="s">
        <v>283</v>
      </c>
      <c r="J2" s="312" t="s">
        <v>284</v>
      </c>
      <c r="K2" s="312" t="s">
        <v>285</v>
      </c>
      <c r="L2" s="313" t="s">
        <v>286</v>
      </c>
      <c r="M2" s="314" t="s">
        <v>287</v>
      </c>
      <c r="N2" s="124" t="s">
        <v>282</v>
      </c>
      <c r="O2" s="312" t="s">
        <v>283</v>
      </c>
      <c r="P2" s="312" t="s">
        <v>284</v>
      </c>
      <c r="Q2" s="312" t="s">
        <v>285</v>
      </c>
      <c r="R2" s="313" t="s">
        <v>286</v>
      </c>
      <c r="S2" s="314" t="s">
        <v>287</v>
      </c>
      <c r="T2" s="124" t="s">
        <v>282</v>
      </c>
      <c r="U2" s="312" t="s">
        <v>283</v>
      </c>
      <c r="V2" s="312" t="s">
        <v>284</v>
      </c>
      <c r="W2" s="312" t="s">
        <v>285</v>
      </c>
      <c r="X2" s="313" t="s">
        <v>286</v>
      </c>
      <c r="Y2" s="314" t="s">
        <v>287</v>
      </c>
      <c r="Z2" s="124" t="s">
        <v>282</v>
      </c>
      <c r="AA2" s="312" t="s">
        <v>283</v>
      </c>
      <c r="AB2" s="312" t="s">
        <v>284</v>
      </c>
      <c r="AC2" s="312" t="s">
        <v>285</v>
      </c>
      <c r="AD2" s="313" t="s">
        <v>286</v>
      </c>
      <c r="AE2" s="314" t="s">
        <v>287</v>
      </c>
      <c r="AF2" s="124" t="s">
        <v>282</v>
      </c>
      <c r="AG2" s="312" t="s">
        <v>283</v>
      </c>
      <c r="AH2" s="312" t="s">
        <v>284</v>
      </c>
      <c r="AI2" s="312" t="s">
        <v>285</v>
      </c>
      <c r="AJ2" s="313" t="s">
        <v>286</v>
      </c>
      <c r="AK2" s="314" t="s">
        <v>287</v>
      </c>
      <c r="AL2" s="124" t="s">
        <v>282</v>
      </c>
      <c r="AM2" s="312" t="s">
        <v>283</v>
      </c>
      <c r="AN2" s="312" t="s">
        <v>284</v>
      </c>
      <c r="AO2" s="312" t="s">
        <v>285</v>
      </c>
      <c r="AP2" s="313" t="s">
        <v>286</v>
      </c>
      <c r="AQ2" s="314" t="s">
        <v>287</v>
      </c>
      <c r="AR2" s="124" t="s">
        <v>282</v>
      </c>
      <c r="AS2" s="312" t="s">
        <v>283</v>
      </c>
      <c r="AT2" s="312" t="s">
        <v>284</v>
      </c>
      <c r="AU2" s="312" t="s">
        <v>285</v>
      </c>
      <c r="AV2" s="313" t="s">
        <v>286</v>
      </c>
      <c r="AW2" s="314" t="s">
        <v>287</v>
      </c>
      <c r="AX2" s="124" t="s">
        <v>282</v>
      </c>
      <c r="AY2" s="312" t="s">
        <v>283</v>
      </c>
      <c r="AZ2" s="312" t="s">
        <v>284</v>
      </c>
      <c r="BA2" s="312" t="s">
        <v>285</v>
      </c>
      <c r="BB2" s="313" t="s">
        <v>286</v>
      </c>
      <c r="BC2" s="314" t="s">
        <v>287</v>
      </c>
      <c r="BD2" s="124" t="s">
        <v>282</v>
      </c>
      <c r="BE2" s="312" t="s">
        <v>283</v>
      </c>
      <c r="BF2" s="312" t="s">
        <v>284</v>
      </c>
      <c r="BG2" s="312" t="s">
        <v>285</v>
      </c>
      <c r="BH2" s="313" t="s">
        <v>286</v>
      </c>
      <c r="BI2" s="314" t="s">
        <v>287</v>
      </c>
    </row>
    <row r="3" spans="1:61" ht="49.95" customHeight="1">
      <c r="A3" s="315" t="s">
        <v>288</v>
      </c>
      <c r="B3" s="417"/>
      <c r="C3" s="495"/>
      <c r="D3" s="495"/>
      <c r="E3" s="495"/>
      <c r="F3" s="496"/>
      <c r="G3" s="316">
        <f>SUM(B3:F3)</f>
        <v>0</v>
      </c>
      <c r="H3" s="497">
        <v>268</v>
      </c>
      <c r="I3" s="498">
        <v>27</v>
      </c>
      <c r="J3" s="498">
        <v>24</v>
      </c>
      <c r="K3" s="498">
        <v>48</v>
      </c>
      <c r="L3" s="496"/>
      <c r="M3" s="316">
        <f>SUM(H3:L3)</f>
        <v>367</v>
      </c>
      <c r="N3" s="417"/>
      <c r="O3" s="495"/>
      <c r="P3" s="495"/>
      <c r="Q3" s="495"/>
      <c r="R3" s="496"/>
      <c r="S3" s="316">
        <f>SUM(N3:R3)</f>
        <v>0</v>
      </c>
      <c r="T3" s="417"/>
      <c r="U3" s="495"/>
      <c r="V3" s="495"/>
      <c r="W3" s="495"/>
      <c r="X3" s="496"/>
      <c r="Y3" s="316">
        <f>SUM(T3:X3)</f>
        <v>0</v>
      </c>
      <c r="Z3" s="417"/>
      <c r="AA3" s="495"/>
      <c r="AB3" s="495"/>
      <c r="AC3" s="495"/>
      <c r="AD3" s="496"/>
      <c r="AE3" s="316">
        <f>SUM(Z3:AD3)</f>
        <v>0</v>
      </c>
      <c r="AF3" s="417"/>
      <c r="AG3" s="495"/>
      <c r="AH3" s="495"/>
      <c r="AI3" s="495"/>
      <c r="AJ3" s="496"/>
      <c r="AK3" s="316">
        <f>SUM(AF3:AJ3)</f>
        <v>0</v>
      </c>
      <c r="AL3" s="417"/>
      <c r="AM3" s="495"/>
      <c r="AN3" s="495"/>
      <c r="AO3" s="495"/>
      <c r="AP3" s="496"/>
      <c r="AQ3" s="316">
        <f>SUM(AL3:AP3)</f>
        <v>0</v>
      </c>
      <c r="AR3" s="417"/>
      <c r="AS3" s="495"/>
      <c r="AT3" s="495"/>
      <c r="AU3" s="495"/>
      <c r="AV3" s="496"/>
      <c r="AW3" s="316">
        <f>SUM(AR3:AV3)</f>
        <v>0</v>
      </c>
      <c r="AX3" s="417"/>
      <c r="AY3" s="495"/>
      <c r="AZ3" s="495"/>
      <c r="BA3" s="495"/>
      <c r="BB3" s="496"/>
      <c r="BC3" s="316">
        <f>SUM(AX3:BB3)</f>
        <v>0</v>
      </c>
      <c r="BD3" s="417"/>
      <c r="BE3" s="495"/>
      <c r="BF3" s="495"/>
      <c r="BG3" s="495"/>
      <c r="BH3" s="496"/>
      <c r="BI3" s="316">
        <f>SUM(BD3:BH3)</f>
        <v>0</v>
      </c>
    </row>
    <row r="4" spans="1:61" ht="49.95" customHeight="1">
      <c r="A4" s="315" t="s">
        <v>289</v>
      </c>
      <c r="B4" s="375">
        <v>2400</v>
      </c>
      <c r="C4" s="189">
        <v>2200</v>
      </c>
      <c r="D4" s="189">
        <v>2300</v>
      </c>
      <c r="E4" s="189">
        <v>2300</v>
      </c>
      <c r="F4" s="190">
        <v>2300</v>
      </c>
      <c r="G4" s="317"/>
      <c r="H4" s="375">
        <v>2400</v>
      </c>
      <c r="I4" s="189">
        <v>2200</v>
      </c>
      <c r="J4" s="189">
        <v>2300</v>
      </c>
      <c r="K4" s="189">
        <v>2300</v>
      </c>
      <c r="L4" s="190">
        <v>2300</v>
      </c>
      <c r="M4" s="317"/>
      <c r="N4" s="375">
        <v>2400</v>
      </c>
      <c r="O4" s="189">
        <v>2200</v>
      </c>
      <c r="P4" s="189">
        <v>2300</v>
      </c>
      <c r="Q4" s="189">
        <v>2300</v>
      </c>
      <c r="R4" s="190">
        <v>2300</v>
      </c>
      <c r="S4" s="317"/>
      <c r="T4" s="375">
        <v>2400</v>
      </c>
      <c r="U4" s="189">
        <v>2200</v>
      </c>
      <c r="V4" s="189">
        <v>2300</v>
      </c>
      <c r="W4" s="189">
        <v>2300</v>
      </c>
      <c r="X4" s="190">
        <v>2300</v>
      </c>
      <c r="Y4" s="317"/>
      <c r="Z4" s="375">
        <v>2400</v>
      </c>
      <c r="AA4" s="189">
        <v>2200</v>
      </c>
      <c r="AB4" s="189">
        <v>2300</v>
      </c>
      <c r="AC4" s="189">
        <v>2300</v>
      </c>
      <c r="AD4" s="190">
        <v>2300</v>
      </c>
      <c r="AE4" s="317"/>
      <c r="AF4" s="375">
        <v>2400</v>
      </c>
      <c r="AG4" s="189">
        <v>2200</v>
      </c>
      <c r="AH4" s="189">
        <v>2300</v>
      </c>
      <c r="AI4" s="189">
        <v>2300</v>
      </c>
      <c r="AJ4" s="190">
        <v>2300</v>
      </c>
      <c r="AK4" s="317"/>
      <c r="AL4" s="375">
        <v>2400</v>
      </c>
      <c r="AM4" s="189">
        <v>2200</v>
      </c>
      <c r="AN4" s="189">
        <v>2300</v>
      </c>
      <c r="AO4" s="189">
        <v>2300</v>
      </c>
      <c r="AP4" s="190">
        <v>2300</v>
      </c>
      <c r="AQ4" s="317"/>
      <c r="AR4" s="375">
        <v>2400</v>
      </c>
      <c r="AS4" s="189">
        <v>2200</v>
      </c>
      <c r="AT4" s="189">
        <v>2300</v>
      </c>
      <c r="AU4" s="189">
        <v>2300</v>
      </c>
      <c r="AV4" s="190">
        <v>2300</v>
      </c>
      <c r="AW4" s="317"/>
      <c r="AX4" s="375">
        <v>2400</v>
      </c>
      <c r="AY4" s="189">
        <v>2200</v>
      </c>
      <c r="AZ4" s="189">
        <v>2300</v>
      </c>
      <c r="BA4" s="189">
        <v>2300</v>
      </c>
      <c r="BB4" s="190">
        <v>2300</v>
      </c>
      <c r="BC4" s="317"/>
      <c r="BD4" s="375">
        <v>2400</v>
      </c>
      <c r="BE4" s="189">
        <v>2200</v>
      </c>
      <c r="BF4" s="189">
        <v>2300</v>
      </c>
      <c r="BG4" s="189">
        <v>2300</v>
      </c>
      <c r="BH4" s="190">
        <v>2300</v>
      </c>
      <c r="BI4" s="317"/>
    </row>
    <row r="5" spans="1:61" ht="49.95" customHeight="1">
      <c r="A5" s="318" t="s">
        <v>290</v>
      </c>
      <c r="B5" s="319">
        <f>B3*B4</f>
        <v>0</v>
      </c>
      <c r="C5" s="320">
        <f>C3*C4</f>
        <v>0</v>
      </c>
      <c r="D5" s="320">
        <f>D3*D4</f>
        <v>0</v>
      </c>
      <c r="E5" s="320">
        <f>E3*E4</f>
        <v>0</v>
      </c>
      <c r="F5" s="321">
        <f>F3*F4</f>
        <v>0</v>
      </c>
      <c r="G5" s="322">
        <f>SUM(B5:F5)</f>
        <v>0</v>
      </c>
      <c r="H5" s="319">
        <f>H3*H4</f>
        <v>643200</v>
      </c>
      <c r="I5" s="320">
        <f>I3*I4</f>
        <v>59400</v>
      </c>
      <c r="J5" s="320">
        <f>J3*J4</f>
        <v>55200</v>
      </c>
      <c r="K5" s="320">
        <f>K3*K4</f>
        <v>110400</v>
      </c>
      <c r="L5" s="321">
        <f>L3*L4</f>
        <v>0</v>
      </c>
      <c r="M5" s="322">
        <f>SUM(H5:L5)</f>
        <v>868200</v>
      </c>
      <c r="N5" s="319">
        <f>N3*N4</f>
        <v>0</v>
      </c>
      <c r="O5" s="320">
        <f>O3*O4</f>
        <v>0</v>
      </c>
      <c r="P5" s="320">
        <f>P3*P4</f>
        <v>0</v>
      </c>
      <c r="Q5" s="320">
        <f>Q3*Q4</f>
        <v>0</v>
      </c>
      <c r="R5" s="321">
        <f>R3*R4</f>
        <v>0</v>
      </c>
      <c r="S5" s="322">
        <f>SUM(N5:R5)</f>
        <v>0</v>
      </c>
      <c r="T5" s="319">
        <f>T3*T4</f>
        <v>0</v>
      </c>
      <c r="U5" s="320">
        <f>U3*U4</f>
        <v>0</v>
      </c>
      <c r="V5" s="320">
        <f>V3*V4</f>
        <v>0</v>
      </c>
      <c r="W5" s="320">
        <f>W3*W4</f>
        <v>0</v>
      </c>
      <c r="X5" s="321">
        <f>X3*X4</f>
        <v>0</v>
      </c>
      <c r="Y5" s="322">
        <f>SUM(T5:X5)</f>
        <v>0</v>
      </c>
      <c r="Z5" s="319">
        <f>Z3*Z4</f>
        <v>0</v>
      </c>
      <c r="AA5" s="320">
        <f>AA3*AA4</f>
        <v>0</v>
      </c>
      <c r="AB5" s="320">
        <f>AB3*AB4</f>
        <v>0</v>
      </c>
      <c r="AC5" s="320">
        <f>AC3*AC4</f>
        <v>0</v>
      </c>
      <c r="AD5" s="321">
        <f>AD3*AD4</f>
        <v>0</v>
      </c>
      <c r="AE5" s="322">
        <f>SUM(Z5:AD5)</f>
        <v>0</v>
      </c>
      <c r="AF5" s="319">
        <f>AF3*AF4</f>
        <v>0</v>
      </c>
      <c r="AG5" s="320">
        <f>AG3*AG4</f>
        <v>0</v>
      </c>
      <c r="AH5" s="320">
        <f>AH3*AH4</f>
        <v>0</v>
      </c>
      <c r="AI5" s="320">
        <f>AI3*AI4</f>
        <v>0</v>
      </c>
      <c r="AJ5" s="321">
        <f>AJ3*AJ4</f>
        <v>0</v>
      </c>
      <c r="AK5" s="322">
        <f>SUM(AF5:AJ5)</f>
        <v>0</v>
      </c>
      <c r="AL5" s="319">
        <f>AL3*AL4</f>
        <v>0</v>
      </c>
      <c r="AM5" s="320">
        <f>AM3*AM4</f>
        <v>0</v>
      </c>
      <c r="AN5" s="320">
        <f>AN3*AN4</f>
        <v>0</v>
      </c>
      <c r="AO5" s="320">
        <f>AO3*AO4</f>
        <v>0</v>
      </c>
      <c r="AP5" s="321">
        <f>AP3*AP4</f>
        <v>0</v>
      </c>
      <c r="AQ5" s="322">
        <f>SUM(AL5:AP5)</f>
        <v>0</v>
      </c>
      <c r="AR5" s="319">
        <f>AR3*AR4</f>
        <v>0</v>
      </c>
      <c r="AS5" s="320">
        <f>AS3*AS4</f>
        <v>0</v>
      </c>
      <c r="AT5" s="320">
        <f>AT3*AT4</f>
        <v>0</v>
      </c>
      <c r="AU5" s="320">
        <f>AU3*AU4</f>
        <v>0</v>
      </c>
      <c r="AV5" s="321">
        <f>AV3*AV4</f>
        <v>0</v>
      </c>
      <c r="AW5" s="322">
        <f>SUM(AR5:AV5)</f>
        <v>0</v>
      </c>
      <c r="AX5" s="319">
        <f>AX3*AX4</f>
        <v>0</v>
      </c>
      <c r="AY5" s="320">
        <f>AY3*AY4</f>
        <v>0</v>
      </c>
      <c r="AZ5" s="320">
        <f>AZ3*AZ4</f>
        <v>0</v>
      </c>
      <c r="BA5" s="320">
        <f>BA3*BA4</f>
        <v>0</v>
      </c>
      <c r="BB5" s="321">
        <f>BB3*BB4</f>
        <v>0</v>
      </c>
      <c r="BC5" s="322">
        <f>SUM(AX5:BB5)</f>
        <v>0</v>
      </c>
      <c r="BD5" s="319">
        <f>BD3*BD4</f>
        <v>0</v>
      </c>
      <c r="BE5" s="320">
        <f>BE3*BE4</f>
        <v>0</v>
      </c>
      <c r="BF5" s="320">
        <f>BF3*BF4</f>
        <v>0</v>
      </c>
      <c r="BG5" s="320">
        <f>BG3*BG4</f>
        <v>0</v>
      </c>
      <c r="BH5" s="321">
        <f>BH3*BH4</f>
        <v>0</v>
      </c>
      <c r="BI5" s="322">
        <f>SUM(BD5:BH5)</f>
        <v>0</v>
      </c>
    </row>
  </sheetData>
  <sheetProtection algorithmName="SHA-512" hashValue="K11CHCFY8IdxIuYdlplnvj+SjE0Ir/Mpbt0b9uZRZd1m17688Bza26BH05/VcjRq1socDbhikP8To9zQfrWDdw==" saltValue="RSfnnbgfkcVip9McX4hUgw==" spinCount="100000" sheet="1" objects="1" scenarios="1"/>
  <mergeCells count="10">
    <mergeCell ref="B1:F1"/>
    <mergeCell ref="H1:L1"/>
    <mergeCell ref="N1:R1"/>
    <mergeCell ref="T1:X1"/>
    <mergeCell ref="Z1:AD1"/>
    <mergeCell ref="AF1:AJ1"/>
    <mergeCell ref="AL1:AP1"/>
    <mergeCell ref="AR1:AV1"/>
    <mergeCell ref="AX1:BB1"/>
    <mergeCell ref="BD1:BH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"/>
  <sheetViews>
    <sheetView showGridLines="0" workbookViewId="0">
      <selection sqref="A1:B2"/>
    </sheetView>
  </sheetViews>
  <sheetFormatPr baseColWidth="10" defaultColWidth="16.33203125" defaultRowHeight="19.95" customHeight="1"/>
  <cols>
    <col min="1" max="2" width="16.33203125" style="323" customWidth="1"/>
    <col min="3" max="12" width="14.109375" style="323" customWidth="1"/>
    <col min="13" max="256" width="16.33203125" style="323" customWidth="1"/>
  </cols>
  <sheetData>
    <row r="1" spans="1:12" ht="39.6" customHeight="1">
      <c r="A1" s="732"/>
      <c r="B1" s="733"/>
      <c r="C1" s="735" t="s">
        <v>291</v>
      </c>
      <c r="D1" s="537"/>
      <c r="E1" s="537"/>
      <c r="F1" s="537"/>
      <c r="G1" s="537"/>
      <c r="H1" s="537"/>
      <c r="I1" s="538"/>
      <c r="J1" s="526"/>
      <c r="K1" s="526"/>
      <c r="L1" s="526"/>
    </row>
    <row r="2" spans="1:12" ht="35.1" customHeight="1">
      <c r="A2" s="734"/>
      <c r="B2" s="538"/>
      <c r="C2" s="60">
        <v>2016</v>
      </c>
      <c r="D2" s="61">
        <v>2017</v>
      </c>
      <c r="E2" s="61">
        <v>2018</v>
      </c>
      <c r="F2" s="61">
        <v>2019</v>
      </c>
      <c r="G2" s="61">
        <v>2020</v>
      </c>
      <c r="H2" s="61">
        <v>2021</v>
      </c>
      <c r="I2" s="61">
        <v>2022</v>
      </c>
      <c r="J2" s="61">
        <v>2023</v>
      </c>
      <c r="K2" s="61">
        <v>2024</v>
      </c>
      <c r="L2" s="62">
        <v>2025</v>
      </c>
    </row>
    <row r="3" spans="1:12" ht="35.1" customHeight="1">
      <c r="A3" s="736" t="s">
        <v>292</v>
      </c>
      <c r="B3" s="737"/>
      <c r="C3" s="499">
        <v>383125.86666666699</v>
      </c>
      <c r="D3" s="444">
        <v>389704.60952380998</v>
      </c>
      <c r="E3" s="444">
        <v>369912.98214285698</v>
      </c>
      <c r="F3" s="444"/>
      <c r="G3" s="444"/>
      <c r="H3" s="444"/>
      <c r="I3" s="444"/>
      <c r="J3" s="444"/>
      <c r="K3" s="444"/>
      <c r="L3" s="445"/>
    </row>
    <row r="4" spans="1:12" ht="35.1" customHeight="1">
      <c r="A4" s="738" t="s">
        <v>293</v>
      </c>
      <c r="B4" s="739"/>
      <c r="C4" s="500">
        <v>44670.476190476198</v>
      </c>
      <c r="D4" s="448">
        <v>45959.047619047597</v>
      </c>
      <c r="E4" s="448">
        <v>46388.571428571398</v>
      </c>
      <c r="F4" s="448"/>
      <c r="G4" s="448"/>
      <c r="H4" s="448"/>
      <c r="I4" s="448"/>
      <c r="J4" s="448"/>
      <c r="K4" s="448"/>
      <c r="L4" s="449"/>
    </row>
    <row r="5" spans="1:12" ht="35.1" customHeight="1">
      <c r="A5" s="738" t="s">
        <v>77</v>
      </c>
      <c r="B5" s="739"/>
      <c r="C5" s="500">
        <v>0</v>
      </c>
      <c r="D5" s="448">
        <v>0</v>
      </c>
      <c r="E5" s="448">
        <v>0</v>
      </c>
      <c r="F5" s="448"/>
      <c r="G5" s="448"/>
      <c r="H5" s="448"/>
      <c r="I5" s="448"/>
      <c r="J5" s="448"/>
      <c r="K5" s="448"/>
      <c r="L5" s="449"/>
    </row>
    <row r="6" spans="1:12" ht="35.1" customHeight="1">
      <c r="A6" s="738" t="s">
        <v>294</v>
      </c>
      <c r="B6" s="739"/>
      <c r="C6" s="500">
        <v>541.46031746031701</v>
      </c>
      <c r="D6" s="448">
        <v>557.07936507936495</v>
      </c>
      <c r="E6" s="448">
        <v>562.28571428571399</v>
      </c>
      <c r="F6" s="448"/>
      <c r="G6" s="448"/>
      <c r="H6" s="448"/>
      <c r="I6" s="448"/>
      <c r="J6" s="448"/>
      <c r="K6" s="448"/>
      <c r="L6" s="449"/>
    </row>
    <row r="7" spans="1:12" ht="35.1" customHeight="1">
      <c r="A7" s="738" t="s">
        <v>69</v>
      </c>
      <c r="B7" s="324" t="s">
        <v>295</v>
      </c>
      <c r="C7" s="500">
        <v>148097.792063492</v>
      </c>
      <c r="D7" s="448">
        <v>150261.61587301601</v>
      </c>
      <c r="E7" s="448">
        <v>145197.10714285701</v>
      </c>
      <c r="F7" s="448"/>
      <c r="G7" s="448"/>
      <c r="H7" s="448"/>
      <c r="I7" s="448"/>
      <c r="J7" s="448"/>
      <c r="K7" s="448"/>
      <c r="L7" s="449"/>
    </row>
    <row r="8" spans="1:12" ht="35.1" customHeight="1">
      <c r="A8" s="743"/>
      <c r="B8" s="324" t="s">
        <v>183</v>
      </c>
      <c r="C8" s="500">
        <v>478329.26587301597</v>
      </c>
      <c r="D8" s="448">
        <v>473187.18253968301</v>
      </c>
      <c r="E8" s="448">
        <v>455184.196428572</v>
      </c>
      <c r="F8" s="448"/>
      <c r="G8" s="448"/>
      <c r="H8" s="448"/>
      <c r="I8" s="448"/>
      <c r="J8" s="448"/>
      <c r="K8" s="448"/>
      <c r="L8" s="449"/>
    </row>
    <row r="9" spans="1:12" ht="35.1" customHeight="1">
      <c r="A9" s="532"/>
      <c r="B9" s="324" t="s">
        <v>81</v>
      </c>
      <c r="C9" s="500">
        <v>0</v>
      </c>
      <c r="D9" s="448">
        <v>0</v>
      </c>
      <c r="E9" s="448">
        <v>0</v>
      </c>
      <c r="F9" s="448"/>
      <c r="G9" s="448"/>
      <c r="H9" s="448"/>
      <c r="I9" s="448"/>
      <c r="J9" s="448"/>
      <c r="K9" s="448"/>
      <c r="L9" s="449"/>
    </row>
    <row r="10" spans="1:12" ht="35.1" customHeight="1">
      <c r="A10" s="532"/>
      <c r="B10" s="324" t="s">
        <v>82</v>
      </c>
      <c r="C10" s="500">
        <v>13536.5079365079</v>
      </c>
      <c r="D10" s="448">
        <v>13926.9841269841</v>
      </c>
      <c r="E10" s="448">
        <v>14057.142857142901</v>
      </c>
      <c r="F10" s="448"/>
      <c r="G10" s="448"/>
      <c r="H10" s="448"/>
      <c r="I10" s="448"/>
      <c r="J10" s="448"/>
      <c r="K10" s="448"/>
      <c r="L10" s="449"/>
    </row>
    <row r="11" spans="1:12" ht="35.1" customHeight="1">
      <c r="A11" s="532"/>
      <c r="B11" s="324" t="s">
        <v>296</v>
      </c>
      <c r="C11" s="500">
        <v>0</v>
      </c>
      <c r="D11" s="448">
        <v>0</v>
      </c>
      <c r="E11" s="448">
        <v>0</v>
      </c>
      <c r="F11" s="448"/>
      <c r="G11" s="448"/>
      <c r="H11" s="448"/>
      <c r="I11" s="448"/>
      <c r="J11" s="448"/>
      <c r="K11" s="448"/>
      <c r="L11" s="449"/>
    </row>
    <row r="12" spans="1:12" ht="35.1" customHeight="1">
      <c r="A12" s="738" t="s">
        <v>73</v>
      </c>
      <c r="B12" s="740"/>
      <c r="C12" s="500">
        <v>18274.285714285699</v>
      </c>
      <c r="D12" s="448">
        <v>18801.428571428602</v>
      </c>
      <c r="E12" s="448">
        <v>18977.142857142899</v>
      </c>
      <c r="F12" s="448"/>
      <c r="G12" s="448"/>
      <c r="H12" s="448"/>
      <c r="I12" s="448"/>
      <c r="J12" s="448"/>
      <c r="K12" s="448"/>
      <c r="L12" s="449"/>
    </row>
    <row r="13" spans="1:12" ht="35.1" customHeight="1">
      <c r="A13" s="738" t="s">
        <v>84</v>
      </c>
      <c r="B13" s="740"/>
      <c r="C13" s="500">
        <v>55219.841269841199</v>
      </c>
      <c r="D13" s="448">
        <v>55715.746031745999</v>
      </c>
      <c r="E13" s="448">
        <v>52983.714285714203</v>
      </c>
      <c r="F13" s="448"/>
      <c r="G13" s="448"/>
      <c r="H13" s="448"/>
      <c r="I13" s="448"/>
      <c r="J13" s="448"/>
      <c r="K13" s="448"/>
      <c r="L13" s="449"/>
    </row>
    <row r="14" spans="1:12" ht="35.1" customHeight="1">
      <c r="A14" s="741" t="s">
        <v>72</v>
      </c>
      <c r="B14" s="742"/>
      <c r="C14" s="501">
        <v>156566.30952380999</v>
      </c>
      <c r="D14" s="452">
        <v>157488.80952380999</v>
      </c>
      <c r="E14" s="452">
        <v>151304.64285714299</v>
      </c>
      <c r="F14" s="452"/>
      <c r="G14" s="452"/>
      <c r="H14" s="452"/>
      <c r="I14" s="452"/>
      <c r="J14" s="452"/>
      <c r="K14" s="452"/>
      <c r="L14" s="453"/>
    </row>
  </sheetData>
  <sheetProtection algorithmName="SHA-512" hashValue="dIdrjrXIkyCSItowL5uqpN1kXfFox2e5qQa3CdFXfrjL55J0HYLPxckMayM/LsiATa6wBg75FTH4xV6leZSpZg==" saltValue="HreMrxqDLXYZRWcfibwX1A==" spinCount="100000" sheet="1" objects="1" scenarios="1"/>
  <mergeCells count="10">
    <mergeCell ref="A13:B13"/>
    <mergeCell ref="A14:B14"/>
    <mergeCell ref="A6:B6"/>
    <mergeCell ref="A12:B12"/>
    <mergeCell ref="A7:A11"/>
    <mergeCell ref="A1:B2"/>
    <mergeCell ref="C1:L1"/>
    <mergeCell ref="A3:B3"/>
    <mergeCell ref="A4:B4"/>
    <mergeCell ref="A5:B5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"/>
  <sheetViews>
    <sheetView showGridLines="0" workbookViewId="0">
      <selection activeCell="B2" sqref="B2"/>
    </sheetView>
  </sheetViews>
  <sheetFormatPr baseColWidth="10" defaultColWidth="16.33203125" defaultRowHeight="19.95" customHeight="1"/>
  <cols>
    <col min="1" max="1" width="23.109375" style="325" customWidth="1"/>
    <col min="2" max="11" width="13.88671875" style="325" customWidth="1"/>
    <col min="12" max="256" width="16.33203125" style="325" customWidth="1"/>
  </cols>
  <sheetData>
    <row r="1" spans="1:11" ht="61.2" customHeight="1">
      <c r="A1" s="354"/>
      <c r="B1" s="682" t="s">
        <v>297</v>
      </c>
      <c r="C1" s="526"/>
      <c r="D1" s="526"/>
      <c r="E1" s="526"/>
      <c r="F1" s="526"/>
      <c r="G1" s="526"/>
      <c r="H1" s="526"/>
      <c r="I1" s="526"/>
      <c r="J1" s="526"/>
      <c r="K1" s="526"/>
    </row>
    <row r="2" spans="1:11" ht="34.65" customHeight="1">
      <c r="A2" s="326"/>
      <c r="B2" s="60">
        <v>2016</v>
      </c>
      <c r="C2" s="61">
        <v>2017</v>
      </c>
      <c r="D2" s="61">
        <v>2018</v>
      </c>
      <c r="E2" s="61">
        <v>2019</v>
      </c>
      <c r="F2" s="61">
        <v>2020</v>
      </c>
      <c r="G2" s="61">
        <v>2021</v>
      </c>
      <c r="H2" s="61">
        <v>2022</v>
      </c>
      <c r="I2" s="61">
        <v>2023</v>
      </c>
      <c r="J2" s="61">
        <v>2024</v>
      </c>
      <c r="K2" s="62">
        <v>2025</v>
      </c>
    </row>
    <row r="3" spans="1:11" ht="34.65" customHeight="1">
      <c r="A3" s="327" t="s">
        <v>69</v>
      </c>
      <c r="B3" s="499"/>
      <c r="C3" s="444">
        <v>237495</v>
      </c>
      <c r="D3" s="444"/>
      <c r="E3" s="444"/>
      <c r="F3" s="444"/>
      <c r="G3" s="444"/>
      <c r="H3" s="444"/>
      <c r="I3" s="444"/>
      <c r="J3" s="444"/>
      <c r="K3" s="445"/>
    </row>
    <row r="4" spans="1:11" ht="34.65" customHeight="1">
      <c r="A4" s="328" t="s">
        <v>105</v>
      </c>
      <c r="B4" s="500"/>
      <c r="C4" s="448">
        <v>2195535</v>
      </c>
      <c r="D4" s="448"/>
      <c r="E4" s="448"/>
      <c r="F4" s="448"/>
      <c r="G4" s="448"/>
      <c r="H4" s="448"/>
      <c r="I4" s="448"/>
      <c r="J4" s="448"/>
      <c r="K4" s="449"/>
    </row>
    <row r="5" spans="1:11" ht="34.65" customHeight="1">
      <c r="A5" s="328" t="s">
        <v>298</v>
      </c>
      <c r="B5" s="500"/>
      <c r="C5" s="448">
        <v>398358</v>
      </c>
      <c r="D5" s="448"/>
      <c r="E5" s="448"/>
      <c r="F5" s="448"/>
      <c r="G5" s="448"/>
      <c r="H5" s="448"/>
      <c r="I5" s="448"/>
      <c r="J5" s="448"/>
      <c r="K5" s="449"/>
    </row>
    <row r="6" spans="1:11" ht="34.65" customHeight="1">
      <c r="A6" s="328" t="s">
        <v>72</v>
      </c>
      <c r="B6" s="500"/>
      <c r="C6" s="448">
        <v>243486</v>
      </c>
      <c r="D6" s="448"/>
      <c r="E6" s="448"/>
      <c r="F6" s="448"/>
      <c r="G6" s="448"/>
      <c r="H6" s="448"/>
      <c r="I6" s="448"/>
      <c r="J6" s="448"/>
      <c r="K6" s="449"/>
    </row>
    <row r="7" spans="1:11" ht="34.65" customHeight="1">
      <c r="A7" s="329" t="s">
        <v>299</v>
      </c>
      <c r="B7" s="501"/>
      <c r="C7" s="452">
        <v>76611.899999999994</v>
      </c>
      <c r="D7" s="452"/>
      <c r="E7" s="452"/>
      <c r="F7" s="452"/>
      <c r="G7" s="452"/>
      <c r="H7" s="452"/>
      <c r="I7" s="452"/>
      <c r="J7" s="452"/>
      <c r="K7" s="453"/>
    </row>
  </sheetData>
  <sheetProtection algorithmName="SHA-512" hashValue="C3A2sl2fMr7M/jcqiYUuHy/QUDlovf+Z1qr9DFqeggW9FkvgGo7aWrpKvWAe2n7oA8aWTiu6eJfTksEvKJYjtg==" saltValue="Xs0FKvK5PQFw1+RSqiyElw==" spinCount="100000" sheet="1" objects="1" scenarios="1"/>
  <mergeCells count="1">
    <mergeCell ref="B1:K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6"/>
  <sheetViews>
    <sheetView showGridLines="0" workbookViewId="0">
      <pane xSplit="4" ySplit="4" topLeftCell="E5" activePane="bottomRight" state="frozen"/>
      <selection pane="topRight"/>
      <selection pane="bottomLeft"/>
      <selection pane="bottomRight" sqref="A1:D1"/>
    </sheetView>
  </sheetViews>
  <sheetFormatPr baseColWidth="10" defaultColWidth="16.33203125" defaultRowHeight="19.95" customHeight="1"/>
  <cols>
    <col min="1" max="1" width="16.33203125" style="330" customWidth="1"/>
    <col min="2" max="2" width="6.44140625" style="330" customWidth="1"/>
    <col min="3" max="3" width="19.109375" style="330" customWidth="1"/>
    <col min="4" max="4" width="16.33203125" style="330" customWidth="1"/>
    <col min="5" max="34" width="10.88671875" style="330" customWidth="1"/>
    <col min="35" max="256" width="16.33203125" style="330" customWidth="1"/>
  </cols>
  <sheetData>
    <row r="1" spans="1:34" ht="23.7" customHeight="1">
      <c r="A1" s="557" t="s">
        <v>300</v>
      </c>
      <c r="B1" s="558"/>
      <c r="C1" s="559"/>
      <c r="D1" s="560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1.15" customHeight="1">
      <c r="A2" s="543" t="s">
        <v>29</v>
      </c>
      <c r="B2" s="756" t="s">
        <v>30</v>
      </c>
      <c r="C2" s="759" t="s">
        <v>31</v>
      </c>
      <c r="D2" s="750"/>
      <c r="E2" s="744">
        <v>2016</v>
      </c>
      <c r="F2" s="516"/>
      <c r="G2" s="517"/>
      <c r="H2" s="744">
        <v>2017</v>
      </c>
      <c r="I2" s="516"/>
      <c r="J2" s="517"/>
      <c r="K2" s="744">
        <v>2018</v>
      </c>
      <c r="L2" s="516"/>
      <c r="M2" s="517"/>
      <c r="N2" s="744">
        <v>2019</v>
      </c>
      <c r="O2" s="516"/>
      <c r="P2" s="517"/>
      <c r="Q2" s="744">
        <v>2020</v>
      </c>
      <c r="R2" s="516"/>
      <c r="S2" s="517"/>
      <c r="T2" s="744">
        <v>2021</v>
      </c>
      <c r="U2" s="516"/>
      <c r="V2" s="517"/>
      <c r="W2" s="744">
        <v>2022</v>
      </c>
      <c r="X2" s="516"/>
      <c r="Y2" s="517"/>
      <c r="Z2" s="744">
        <v>2023</v>
      </c>
      <c r="AA2" s="516"/>
      <c r="AB2" s="517"/>
      <c r="AC2" s="744">
        <v>2024</v>
      </c>
      <c r="AD2" s="516"/>
      <c r="AE2" s="517"/>
      <c r="AF2" s="744">
        <v>2025</v>
      </c>
      <c r="AG2" s="516"/>
      <c r="AH2" s="517"/>
    </row>
    <row r="3" spans="1:34" ht="41.7" customHeight="1">
      <c r="A3" s="755"/>
      <c r="B3" s="757"/>
      <c r="C3" s="760"/>
      <c r="D3" s="751"/>
      <c r="E3" s="331" t="s">
        <v>43</v>
      </c>
      <c r="F3" s="332" t="s">
        <v>301</v>
      </c>
      <c r="G3" s="333" t="s">
        <v>302</v>
      </c>
      <c r="H3" s="331" t="s">
        <v>43</v>
      </c>
      <c r="I3" s="332" t="s">
        <v>301</v>
      </c>
      <c r="J3" s="333" t="s">
        <v>302</v>
      </c>
      <c r="K3" s="331" t="s">
        <v>43</v>
      </c>
      <c r="L3" s="332" t="s">
        <v>301</v>
      </c>
      <c r="M3" s="333" t="s">
        <v>302</v>
      </c>
      <c r="N3" s="331" t="s">
        <v>43</v>
      </c>
      <c r="O3" s="332" t="s">
        <v>301</v>
      </c>
      <c r="P3" s="333" t="s">
        <v>302</v>
      </c>
      <c r="Q3" s="331" t="s">
        <v>43</v>
      </c>
      <c r="R3" s="332" t="s">
        <v>301</v>
      </c>
      <c r="S3" s="333" t="s">
        <v>302</v>
      </c>
      <c r="T3" s="331" t="s">
        <v>43</v>
      </c>
      <c r="U3" s="332" t="s">
        <v>301</v>
      </c>
      <c r="V3" s="333" t="s">
        <v>302</v>
      </c>
      <c r="W3" s="331" t="s">
        <v>43</v>
      </c>
      <c r="X3" s="332" t="s">
        <v>301</v>
      </c>
      <c r="Y3" s="333" t="s">
        <v>302</v>
      </c>
      <c r="Z3" s="331" t="s">
        <v>43</v>
      </c>
      <c r="AA3" s="332" t="s">
        <v>301</v>
      </c>
      <c r="AB3" s="333" t="s">
        <v>302</v>
      </c>
      <c r="AC3" s="331" t="s">
        <v>43</v>
      </c>
      <c r="AD3" s="332" t="s">
        <v>301</v>
      </c>
      <c r="AE3" s="333" t="s">
        <v>302</v>
      </c>
      <c r="AF3" s="331" t="s">
        <v>43</v>
      </c>
      <c r="AG3" s="332" t="s">
        <v>301</v>
      </c>
      <c r="AH3" s="333" t="s">
        <v>302</v>
      </c>
    </row>
    <row r="4" spans="1:34" ht="31.2" customHeight="1">
      <c r="A4" s="560"/>
      <c r="B4" s="758"/>
      <c r="C4" s="761"/>
      <c r="D4" s="752"/>
      <c r="E4" s="334" t="s">
        <v>303</v>
      </c>
      <c r="F4" s="335" t="s">
        <v>303</v>
      </c>
      <c r="G4" s="336" t="s">
        <v>303</v>
      </c>
      <c r="H4" s="334" t="s">
        <v>303</v>
      </c>
      <c r="I4" s="335" t="s">
        <v>303</v>
      </c>
      <c r="J4" s="336" t="s">
        <v>303</v>
      </c>
      <c r="K4" s="334" t="s">
        <v>303</v>
      </c>
      <c r="L4" s="335" t="s">
        <v>303</v>
      </c>
      <c r="M4" s="336" t="s">
        <v>303</v>
      </c>
      <c r="N4" s="334" t="s">
        <v>303</v>
      </c>
      <c r="O4" s="335" t="s">
        <v>303</v>
      </c>
      <c r="P4" s="336" t="s">
        <v>303</v>
      </c>
      <c r="Q4" s="334" t="s">
        <v>303</v>
      </c>
      <c r="R4" s="335" t="s">
        <v>303</v>
      </c>
      <c r="S4" s="336" t="s">
        <v>303</v>
      </c>
      <c r="T4" s="334" t="s">
        <v>303</v>
      </c>
      <c r="U4" s="335" t="s">
        <v>303</v>
      </c>
      <c r="V4" s="336" t="s">
        <v>303</v>
      </c>
      <c r="W4" s="334" t="s">
        <v>303</v>
      </c>
      <c r="X4" s="335" t="s">
        <v>303</v>
      </c>
      <c r="Y4" s="336" t="s">
        <v>303</v>
      </c>
      <c r="Z4" s="334" t="s">
        <v>303</v>
      </c>
      <c r="AA4" s="335" t="s">
        <v>303</v>
      </c>
      <c r="AB4" s="336" t="s">
        <v>303</v>
      </c>
      <c r="AC4" s="334" t="s">
        <v>303</v>
      </c>
      <c r="AD4" s="335" t="s">
        <v>303</v>
      </c>
      <c r="AE4" s="336" t="s">
        <v>303</v>
      </c>
      <c r="AF4" s="334" t="s">
        <v>303</v>
      </c>
      <c r="AG4" s="335" t="s">
        <v>303</v>
      </c>
      <c r="AH4" s="336" t="s">
        <v>303</v>
      </c>
    </row>
    <row r="5" spans="1:34" ht="42.15" customHeight="1">
      <c r="A5" s="574" t="s">
        <v>46</v>
      </c>
      <c r="B5" s="337">
        <v>1</v>
      </c>
      <c r="C5" s="338" t="s">
        <v>47</v>
      </c>
      <c r="D5" s="339"/>
      <c r="E5" s="23">
        <f>'Bilan GES ISTerre'!I5</f>
        <v>0</v>
      </c>
      <c r="F5" s="20">
        <f>E5*(1-'Facteurs d''émissions'!M5)</f>
        <v>0</v>
      </c>
      <c r="G5" s="21">
        <f>E5*(1+'Facteurs d''émissions'!M5)</f>
        <v>0</v>
      </c>
      <c r="H5" s="23">
        <f>'Bilan GES ISTerre'!N5</f>
        <v>0</v>
      </c>
      <c r="I5" s="20">
        <f>H5*(1-'Facteurs d''émissions'!V5)</f>
        <v>0</v>
      </c>
      <c r="J5" s="21">
        <f>H5*(1+'Facteurs d''émissions'!V5)</f>
        <v>0</v>
      </c>
      <c r="K5" s="23">
        <f>'Bilan GES ISTerre'!S5</f>
        <v>0</v>
      </c>
      <c r="L5" s="20">
        <f>K5*(1-'Facteurs d''émissions'!AE5)</f>
        <v>0</v>
      </c>
      <c r="M5" s="21">
        <f>K5*(1+'Facteurs d''émissions'!AE5)</f>
        <v>0</v>
      </c>
      <c r="N5" s="23">
        <f>'Bilan GES ISTerre'!X5</f>
        <v>0</v>
      </c>
      <c r="O5" s="20">
        <f>N5*(1-'Facteurs d''émissions'!AN5)</f>
        <v>0</v>
      </c>
      <c r="P5" s="21">
        <f>N5*(1+'Facteurs d''émissions'!AN5)</f>
        <v>0</v>
      </c>
      <c r="Q5" s="23">
        <f>'Bilan GES ISTerre'!AC5</f>
        <v>0</v>
      </c>
      <c r="R5" s="20">
        <f>Q5*(1-'Facteurs d''émissions'!AW5)</f>
        <v>0</v>
      </c>
      <c r="S5" s="21">
        <f>Q5*(1+'Facteurs d''émissions'!AW5)</f>
        <v>0</v>
      </c>
      <c r="T5" s="23">
        <f>'Bilan GES ISTerre'!AH5</f>
        <v>0</v>
      </c>
      <c r="U5" s="20">
        <f>T5*(1-'Facteurs d''émissions'!BF5)</f>
        <v>0</v>
      </c>
      <c r="V5" s="21">
        <f>T5*(1+'Facteurs d''émissions'!BF5)</f>
        <v>0</v>
      </c>
      <c r="W5" s="23">
        <f>'Bilan GES ISTerre'!AM5</f>
        <v>0</v>
      </c>
      <c r="X5" s="20">
        <f>W5*(1-'Facteurs d''émissions'!BO5)</f>
        <v>0</v>
      </c>
      <c r="Y5" s="21">
        <f>W5*(1+'Facteurs d''émissions'!BO5)</f>
        <v>0</v>
      </c>
      <c r="Z5" s="23">
        <f>'Bilan GES ISTerre'!AR5</f>
        <v>0</v>
      </c>
      <c r="AA5" s="20">
        <f>Z5*(1-'Facteurs d''émissions'!BX5)</f>
        <v>0</v>
      </c>
      <c r="AB5" s="21">
        <f>Z5*(1+'Facteurs d''émissions'!BX5)</f>
        <v>0</v>
      </c>
      <c r="AC5" s="23">
        <f>'Bilan GES ISTerre'!AW5</f>
        <v>0</v>
      </c>
      <c r="AD5" s="20">
        <f>AC5*(1-'Facteurs d''émissions'!CG5)</f>
        <v>0</v>
      </c>
      <c r="AE5" s="21">
        <f>AC5*(1+'Facteurs d''émissions'!CG5)</f>
        <v>0</v>
      </c>
      <c r="AF5" s="23">
        <f>'Bilan GES ISTerre'!BB5</f>
        <v>0</v>
      </c>
      <c r="AG5" s="20">
        <f>AF5*(1-'Facteurs d''émissions'!CP5)</f>
        <v>0</v>
      </c>
      <c r="AH5" s="21">
        <f>AF5*(1+'Facteurs d''émissions'!CP5)</f>
        <v>0</v>
      </c>
    </row>
    <row r="6" spans="1:34" ht="41.7" customHeight="1">
      <c r="A6" s="571"/>
      <c r="B6" s="340">
        <v>2</v>
      </c>
      <c r="C6" s="341" t="s">
        <v>48</v>
      </c>
      <c r="D6" s="342" t="s">
        <v>49</v>
      </c>
      <c r="E6" s="26">
        <f>'Bilan GES ISTerre'!I6</f>
        <v>0</v>
      </c>
      <c r="F6" s="27">
        <f>E6*(1-'Facteurs d''émissions'!M6)</f>
        <v>0</v>
      </c>
      <c r="G6" s="28">
        <f>E6*(1+'Facteurs d''émissions'!M6)</f>
        <v>0</v>
      </c>
      <c r="H6" s="26">
        <f>'Bilan GES ISTerre'!N6</f>
        <v>12.02008378</v>
      </c>
      <c r="I6" s="27">
        <f>H6*(1-'Facteurs d''émissions'!V6)</f>
        <v>10.818075402</v>
      </c>
      <c r="J6" s="28">
        <f>H6*(1+'Facteurs d''émissions'!V6)</f>
        <v>13.222092158000001</v>
      </c>
      <c r="K6" s="26">
        <f>'Bilan GES ISTerre'!S6</f>
        <v>11.536562399999998</v>
      </c>
      <c r="L6" s="27">
        <f>K6*(1-'Facteurs d''émissions'!AE6)</f>
        <v>10.382906159999997</v>
      </c>
      <c r="M6" s="28">
        <f>K6*(1+'Facteurs d''émissions'!AE6)</f>
        <v>12.690218639999998</v>
      </c>
      <c r="N6" s="26">
        <f>'Bilan GES ISTerre'!X6</f>
        <v>0</v>
      </c>
      <c r="O6" s="27">
        <f>N6*(1-'Facteurs d''émissions'!AN6)</f>
        <v>0</v>
      </c>
      <c r="P6" s="28">
        <f>N6*(1+'Facteurs d''émissions'!AN6)</f>
        <v>0</v>
      </c>
      <c r="Q6" s="26">
        <f>'Bilan GES ISTerre'!AC6</f>
        <v>0</v>
      </c>
      <c r="R6" s="27">
        <f>Q6*(1-'Facteurs d''émissions'!AW6)</f>
        <v>0</v>
      </c>
      <c r="S6" s="28">
        <f>Q6*(1+'Facteurs d''émissions'!AW6)</f>
        <v>0</v>
      </c>
      <c r="T6" s="26">
        <f>'Bilan GES ISTerre'!AH6</f>
        <v>0</v>
      </c>
      <c r="U6" s="27">
        <f>T6*(1-'Facteurs d''émissions'!BF6)</f>
        <v>0</v>
      </c>
      <c r="V6" s="28">
        <f>T6*(1+'Facteurs d''émissions'!BF6)</f>
        <v>0</v>
      </c>
      <c r="W6" s="26">
        <f>'Bilan GES ISTerre'!AM6</f>
        <v>0</v>
      </c>
      <c r="X6" s="27">
        <f>W6*(1-'Facteurs d''émissions'!BO6)</f>
        <v>0</v>
      </c>
      <c r="Y6" s="28">
        <f>W6*(1+'Facteurs d''émissions'!BO6)</f>
        <v>0</v>
      </c>
      <c r="Z6" s="26">
        <f>'Bilan GES ISTerre'!AR6</f>
        <v>0</v>
      </c>
      <c r="AA6" s="27">
        <f>Z6*(1-'Facteurs d''émissions'!BX6)</f>
        <v>0</v>
      </c>
      <c r="AB6" s="28">
        <f>Z6*(1+'Facteurs d''émissions'!BX6)</f>
        <v>0</v>
      </c>
      <c r="AC6" s="26">
        <f>'Bilan GES ISTerre'!AW6</f>
        <v>0</v>
      </c>
      <c r="AD6" s="27">
        <f>AC6*(1-'Facteurs d''émissions'!CG6)</f>
        <v>0</v>
      </c>
      <c r="AE6" s="28">
        <f>AC6*(1+'Facteurs d''émissions'!CG6)</f>
        <v>0</v>
      </c>
      <c r="AF6" s="26">
        <f>'Bilan GES ISTerre'!BB6</f>
        <v>0</v>
      </c>
      <c r="AG6" s="27">
        <f>AF6*(1-'Facteurs d''émissions'!CP6)</f>
        <v>0</v>
      </c>
      <c r="AH6" s="28">
        <f>AF6*(1+'Facteurs d''émissions'!CP6)</f>
        <v>0</v>
      </c>
    </row>
    <row r="7" spans="1:34" ht="31.2" customHeight="1">
      <c r="A7" s="572"/>
      <c r="B7" s="343">
        <v>4</v>
      </c>
      <c r="C7" s="344" t="s">
        <v>50</v>
      </c>
      <c r="D7" s="345" t="s">
        <v>51</v>
      </c>
      <c r="E7" s="32">
        <f>'Bilan GES ISTerre'!I7</f>
        <v>18.416159999999998</v>
      </c>
      <c r="F7" s="33">
        <f>E7*(1-'Facteurs d''émissions'!M7)</f>
        <v>9.2080799999999989</v>
      </c>
      <c r="G7" s="34">
        <f>E7*(1+'Facteurs d''émissions'!M7)</f>
        <v>27.624239999999997</v>
      </c>
      <c r="H7" s="32">
        <f>'Bilan GES ISTerre'!N7</f>
        <v>18.416159999999998</v>
      </c>
      <c r="I7" s="33">
        <f>H7*(1-'Facteurs d''émissions'!V7)</f>
        <v>9.2080799999999989</v>
      </c>
      <c r="J7" s="34">
        <f>H7*(1+'Facteurs d''émissions'!V7)</f>
        <v>27.624239999999997</v>
      </c>
      <c r="K7" s="32">
        <f>'Bilan GES ISTerre'!S7</f>
        <v>18.416159999999998</v>
      </c>
      <c r="L7" s="33">
        <f>K7*(1-'Facteurs d''émissions'!AE7)</f>
        <v>9.2080799999999989</v>
      </c>
      <c r="M7" s="34">
        <f>K7*(1+'Facteurs d''émissions'!AE7)</f>
        <v>27.624239999999997</v>
      </c>
      <c r="N7" s="32">
        <f>'Bilan GES ISTerre'!X7</f>
        <v>18.416159999999998</v>
      </c>
      <c r="O7" s="33">
        <f>N7*(1-'Facteurs d''émissions'!AN7)</f>
        <v>9.2080799999999989</v>
      </c>
      <c r="P7" s="34">
        <f>N7*(1+'Facteurs d''émissions'!AN7)</f>
        <v>27.624239999999997</v>
      </c>
      <c r="Q7" s="32">
        <f>'Bilan GES ISTerre'!AC7</f>
        <v>0</v>
      </c>
      <c r="R7" s="33">
        <f>Q7*(1-'Facteurs d''émissions'!AW7)</f>
        <v>0</v>
      </c>
      <c r="S7" s="34">
        <f>Q7*(1+'Facteurs d''émissions'!AW7)</f>
        <v>0</v>
      </c>
      <c r="T7" s="32">
        <f>'Bilan GES ISTerre'!AH7</f>
        <v>0</v>
      </c>
      <c r="U7" s="33">
        <f>T7*(1-'Facteurs d''émissions'!BF7)</f>
        <v>0</v>
      </c>
      <c r="V7" s="34">
        <f>T7*(1+'Facteurs d''émissions'!BF7)</f>
        <v>0</v>
      </c>
      <c r="W7" s="32">
        <f>'Bilan GES ISTerre'!AM7</f>
        <v>0</v>
      </c>
      <c r="X7" s="33">
        <f>W7*(1-'Facteurs d''émissions'!BO7)</f>
        <v>0</v>
      </c>
      <c r="Y7" s="34">
        <f>W7*(1+'Facteurs d''émissions'!BO7)</f>
        <v>0</v>
      </c>
      <c r="Z7" s="32">
        <f>'Bilan GES ISTerre'!AR7</f>
        <v>0</v>
      </c>
      <c r="AA7" s="33">
        <f>Z7*(1-'Facteurs d''émissions'!BX7)</f>
        <v>0</v>
      </c>
      <c r="AB7" s="34">
        <f>Z7*(1+'Facteurs d''émissions'!BX7)</f>
        <v>0</v>
      </c>
      <c r="AC7" s="32">
        <f>'Bilan GES ISTerre'!AW7</f>
        <v>0</v>
      </c>
      <c r="AD7" s="33">
        <f>AC7*(1-'Facteurs d''émissions'!CG7)</f>
        <v>0</v>
      </c>
      <c r="AE7" s="34">
        <f>AC7*(1+'Facteurs d''émissions'!CG7)</f>
        <v>0</v>
      </c>
      <c r="AF7" s="32">
        <f>'Bilan GES ISTerre'!BB7</f>
        <v>0</v>
      </c>
      <c r="AG7" s="33">
        <f>AF7*(1-'Facteurs d''émissions'!CP7)</f>
        <v>0</v>
      </c>
      <c r="AH7" s="34">
        <f>AF7*(1+'Facteurs d''émissions'!CP7)</f>
        <v>0</v>
      </c>
    </row>
    <row r="8" spans="1:34" ht="20.7" customHeight="1">
      <c r="A8" s="36"/>
      <c r="B8" s="561" t="s">
        <v>52</v>
      </c>
      <c r="C8" s="541"/>
      <c r="D8" s="542"/>
      <c r="E8" s="42">
        <f t="shared" ref="E8:AH8" si="0">SUM(E5:E7)</f>
        <v>18.416159999999998</v>
      </c>
      <c r="F8" s="39">
        <f t="shared" si="0"/>
        <v>9.2080799999999989</v>
      </c>
      <c r="G8" s="40">
        <f t="shared" si="0"/>
        <v>27.624239999999997</v>
      </c>
      <c r="H8" s="42">
        <f t="shared" si="0"/>
        <v>30.436243779999998</v>
      </c>
      <c r="I8" s="39">
        <f t="shared" si="0"/>
        <v>20.026155402000001</v>
      </c>
      <c r="J8" s="40">
        <f t="shared" si="0"/>
        <v>40.846332157999996</v>
      </c>
      <c r="K8" s="42">
        <f t="shared" si="0"/>
        <v>29.952722399999995</v>
      </c>
      <c r="L8" s="39">
        <f t="shared" si="0"/>
        <v>19.590986159999996</v>
      </c>
      <c r="M8" s="40">
        <f t="shared" si="0"/>
        <v>40.314458639999998</v>
      </c>
      <c r="N8" s="42">
        <f t="shared" si="0"/>
        <v>18.416159999999998</v>
      </c>
      <c r="O8" s="39">
        <f t="shared" si="0"/>
        <v>9.2080799999999989</v>
      </c>
      <c r="P8" s="40">
        <f t="shared" si="0"/>
        <v>27.624239999999997</v>
      </c>
      <c r="Q8" s="42">
        <f t="shared" si="0"/>
        <v>0</v>
      </c>
      <c r="R8" s="39">
        <f t="shared" si="0"/>
        <v>0</v>
      </c>
      <c r="S8" s="40">
        <f t="shared" si="0"/>
        <v>0</v>
      </c>
      <c r="T8" s="42">
        <f t="shared" si="0"/>
        <v>0</v>
      </c>
      <c r="U8" s="39">
        <f t="shared" si="0"/>
        <v>0</v>
      </c>
      <c r="V8" s="40">
        <f t="shared" si="0"/>
        <v>0</v>
      </c>
      <c r="W8" s="42">
        <f t="shared" si="0"/>
        <v>0</v>
      </c>
      <c r="X8" s="39">
        <f t="shared" si="0"/>
        <v>0</v>
      </c>
      <c r="Y8" s="40">
        <f t="shared" si="0"/>
        <v>0</v>
      </c>
      <c r="Z8" s="42">
        <f t="shared" si="0"/>
        <v>0</v>
      </c>
      <c r="AA8" s="39">
        <f t="shared" si="0"/>
        <v>0</v>
      </c>
      <c r="AB8" s="40">
        <f t="shared" si="0"/>
        <v>0</v>
      </c>
      <c r="AC8" s="42">
        <f t="shared" si="0"/>
        <v>0</v>
      </c>
      <c r="AD8" s="39">
        <f t="shared" si="0"/>
        <v>0</v>
      </c>
      <c r="AE8" s="40">
        <f t="shared" si="0"/>
        <v>0</v>
      </c>
      <c r="AF8" s="42">
        <f t="shared" si="0"/>
        <v>0</v>
      </c>
      <c r="AG8" s="39">
        <f t="shared" si="0"/>
        <v>0</v>
      </c>
      <c r="AH8" s="40">
        <f t="shared" si="0"/>
        <v>0</v>
      </c>
    </row>
    <row r="9" spans="1:34" ht="31.2" customHeight="1">
      <c r="A9" s="547" t="s">
        <v>53</v>
      </c>
      <c r="B9" s="346">
        <v>6</v>
      </c>
      <c r="C9" s="753" t="s">
        <v>54</v>
      </c>
      <c r="D9" s="754"/>
      <c r="E9" s="23">
        <f>'Bilan GES ISTerre'!I9</f>
        <v>16.352042699999998</v>
      </c>
      <c r="F9" s="20">
        <f>E9*(1-'Facteurs d''émissions'!M8)</f>
        <v>11.446429889999997</v>
      </c>
      <c r="G9" s="21">
        <f>E9*(1+'Facteurs d''émissions'!M8)</f>
        <v>21.257655509999999</v>
      </c>
      <c r="H9" s="23">
        <f>'Bilan GES ISTerre'!N9</f>
        <v>15.409363128878502</v>
      </c>
      <c r="I9" s="20">
        <f>H9*(1-'Facteurs d''émissions'!V8)</f>
        <v>10.78655419021495</v>
      </c>
      <c r="J9" s="21">
        <f>H9*(1+'Facteurs d''émissions'!V8)</f>
        <v>20.032172067542053</v>
      </c>
      <c r="K9" s="23">
        <f>'Bilan GES ISTerre'!S9</f>
        <v>0.11786579999999999</v>
      </c>
      <c r="L9" s="20">
        <f>K9*(1-'Facteurs d''émissions'!AE8)</f>
        <v>8.2506059999999992E-2</v>
      </c>
      <c r="M9" s="21">
        <f>K9*(1+'Facteurs d''émissions'!AE8)</f>
        <v>0.15322553999999999</v>
      </c>
      <c r="N9" s="23">
        <f>'Bilan GES ISTerre'!X9</f>
        <v>0</v>
      </c>
      <c r="O9" s="20">
        <f>N9*(1-'Facteurs d''émissions'!AN8)</f>
        <v>0</v>
      </c>
      <c r="P9" s="21">
        <f>N9*(1+'Facteurs d''émissions'!AN8)</f>
        <v>0</v>
      </c>
      <c r="Q9" s="23">
        <f>'Bilan GES ISTerre'!AC9</f>
        <v>0</v>
      </c>
      <c r="R9" s="20">
        <f>Q9*(1-'Facteurs d''émissions'!AW8)</f>
        <v>0</v>
      </c>
      <c r="S9" s="21">
        <f>Q9*(1+'Facteurs d''émissions'!AW8)</f>
        <v>0</v>
      </c>
      <c r="T9" s="23">
        <f>'Bilan GES ISTerre'!AH9</f>
        <v>0</v>
      </c>
      <c r="U9" s="20">
        <f>T9*(1-'Facteurs d''émissions'!BF8)</f>
        <v>0</v>
      </c>
      <c r="V9" s="21">
        <f>T9*(1+'Facteurs d''émissions'!BF8)</f>
        <v>0</v>
      </c>
      <c r="W9" s="23">
        <f>'Bilan GES ISTerre'!AM9</f>
        <v>0</v>
      </c>
      <c r="X9" s="20">
        <f>W9*(1-'Facteurs d''émissions'!BO8)</f>
        <v>0</v>
      </c>
      <c r="Y9" s="21">
        <f>W9*(1+'Facteurs d''émissions'!BO8)</f>
        <v>0</v>
      </c>
      <c r="Z9" s="23">
        <f>'Bilan GES ISTerre'!AR9</f>
        <v>0</v>
      </c>
      <c r="AA9" s="20">
        <f>Z9*(1-'Facteurs d''émissions'!BX8)</f>
        <v>0</v>
      </c>
      <c r="AB9" s="21">
        <f>Z9*(1+'Facteurs d''émissions'!BX8)</f>
        <v>0</v>
      </c>
      <c r="AC9" s="23">
        <f>'Bilan GES ISTerre'!AW9</f>
        <v>0</v>
      </c>
      <c r="AD9" s="20">
        <f>AC9*(1-'Facteurs d''émissions'!CG8)</f>
        <v>0</v>
      </c>
      <c r="AE9" s="21">
        <f>AC9*(1+'Facteurs d''émissions'!CG8)</f>
        <v>0</v>
      </c>
      <c r="AF9" s="23">
        <f>'Bilan GES ISTerre'!BB9</f>
        <v>0</v>
      </c>
      <c r="AG9" s="20">
        <f>AF9*(1-'Facteurs d''émissions'!CP8)</f>
        <v>0</v>
      </c>
      <c r="AH9" s="21">
        <f>AF9*(1+'Facteurs d''émissions'!CP8)</f>
        <v>0</v>
      </c>
    </row>
    <row r="10" spans="1:34" ht="53.1" customHeight="1">
      <c r="A10" s="542"/>
      <c r="B10" s="347">
        <v>7</v>
      </c>
      <c r="C10" s="348" t="s">
        <v>56</v>
      </c>
      <c r="D10" s="349" t="s">
        <v>57</v>
      </c>
      <c r="E10" s="32">
        <f>'Bilan GES ISTerre'!I10</f>
        <v>68.216935481290278</v>
      </c>
      <c r="F10" s="33">
        <f>E10*(1-'Facteurs d''émissions'!M9)</f>
        <v>64.806088707225754</v>
      </c>
      <c r="G10" s="34">
        <f>E10*(1+'Facteurs d''émissions'!M9)</f>
        <v>71.627782255354802</v>
      </c>
      <c r="H10" s="32">
        <f>'Bilan GES ISTerre'!N10</f>
        <v>83.234885912404323</v>
      </c>
      <c r="I10" s="33">
        <f>H10*(1-'Facteurs d''émissions'!V9)</f>
        <v>79.073141616784099</v>
      </c>
      <c r="J10" s="34">
        <f>H10*(1+'Facteurs d''émissions'!V9)</f>
        <v>87.396630208024547</v>
      </c>
      <c r="K10" s="32">
        <f>'Bilan GES ISTerre'!S10</f>
        <v>0</v>
      </c>
      <c r="L10" s="33">
        <f>K10*(1-'Facteurs d''émissions'!AE9)</f>
        <v>0</v>
      </c>
      <c r="M10" s="34">
        <f>K10*(1+'Facteurs d''émissions'!AE9)</f>
        <v>0</v>
      </c>
      <c r="N10" s="32">
        <f>'Bilan GES ISTerre'!X10</f>
        <v>0</v>
      </c>
      <c r="O10" s="33">
        <f>N10*(1-'Facteurs d''émissions'!AN9)</f>
        <v>0</v>
      </c>
      <c r="P10" s="34">
        <f>N10*(1+'Facteurs d''émissions'!AN9)</f>
        <v>0</v>
      </c>
      <c r="Q10" s="32">
        <f>'Bilan GES ISTerre'!AC10</f>
        <v>0</v>
      </c>
      <c r="R10" s="33">
        <f>Q10*(1-'Facteurs d''émissions'!AW9)</f>
        <v>0</v>
      </c>
      <c r="S10" s="34">
        <f>Q10*(1+'Facteurs d''émissions'!AW9)</f>
        <v>0</v>
      </c>
      <c r="T10" s="32">
        <f>'Bilan GES ISTerre'!AH10</f>
        <v>0</v>
      </c>
      <c r="U10" s="33">
        <f>T10*(1-'Facteurs d''émissions'!BF9)</f>
        <v>0</v>
      </c>
      <c r="V10" s="34">
        <f>T10*(1+'Facteurs d''émissions'!BF9)</f>
        <v>0</v>
      </c>
      <c r="W10" s="32">
        <f>'Bilan GES ISTerre'!AM10</f>
        <v>0</v>
      </c>
      <c r="X10" s="33">
        <f>W10*(1-'Facteurs d''émissions'!BO9)</f>
        <v>0</v>
      </c>
      <c r="Y10" s="34">
        <f>W10*(1+'Facteurs d''émissions'!BO9)</f>
        <v>0</v>
      </c>
      <c r="Z10" s="32">
        <f>'Bilan GES ISTerre'!AR10</f>
        <v>0</v>
      </c>
      <c r="AA10" s="33">
        <f>Z10*(1-'Facteurs d''émissions'!BX9)</f>
        <v>0</v>
      </c>
      <c r="AB10" s="34">
        <f>Z10*(1+'Facteurs d''émissions'!BX9)</f>
        <v>0</v>
      </c>
      <c r="AC10" s="32">
        <f>'Bilan GES ISTerre'!AW10</f>
        <v>0</v>
      </c>
      <c r="AD10" s="33">
        <f>AC10*(1-'Facteurs d''émissions'!CG9)</f>
        <v>0</v>
      </c>
      <c r="AE10" s="34">
        <f>AC10*(1+'Facteurs d''émissions'!CG9)</f>
        <v>0</v>
      </c>
      <c r="AF10" s="32">
        <f>'Bilan GES ISTerre'!BB10</f>
        <v>0</v>
      </c>
      <c r="AG10" s="33">
        <f>AF10*(1-'Facteurs d''émissions'!CP9)</f>
        <v>0</v>
      </c>
      <c r="AH10" s="34">
        <f>AF10*(1+'Facteurs d''émissions'!CP9)</f>
        <v>0</v>
      </c>
    </row>
    <row r="11" spans="1:34" ht="20.7" customHeight="1">
      <c r="A11" s="36"/>
      <c r="B11" s="562" t="s">
        <v>58</v>
      </c>
      <c r="C11" s="541"/>
      <c r="D11" s="542"/>
      <c r="E11" s="42">
        <f t="shared" ref="E11:AH11" si="1">SUM(E9:E10)</f>
        <v>84.568978181290277</v>
      </c>
      <c r="F11" s="39">
        <f t="shared" si="1"/>
        <v>76.252518597225759</v>
      </c>
      <c r="G11" s="40">
        <f t="shared" si="1"/>
        <v>92.885437765354794</v>
      </c>
      <c r="H11" s="42">
        <f t="shared" si="1"/>
        <v>98.644249041282819</v>
      </c>
      <c r="I11" s="39">
        <f t="shared" si="1"/>
        <v>89.859695806999042</v>
      </c>
      <c r="J11" s="40">
        <f t="shared" si="1"/>
        <v>107.4288022755666</v>
      </c>
      <c r="K11" s="42">
        <f t="shared" si="1"/>
        <v>0.11786579999999999</v>
      </c>
      <c r="L11" s="39">
        <f t="shared" si="1"/>
        <v>8.2506059999999992E-2</v>
      </c>
      <c r="M11" s="40">
        <f t="shared" si="1"/>
        <v>0.15322553999999999</v>
      </c>
      <c r="N11" s="42">
        <f t="shared" si="1"/>
        <v>0</v>
      </c>
      <c r="O11" s="39">
        <f t="shared" si="1"/>
        <v>0</v>
      </c>
      <c r="P11" s="40">
        <f t="shared" si="1"/>
        <v>0</v>
      </c>
      <c r="Q11" s="42">
        <f t="shared" si="1"/>
        <v>0</v>
      </c>
      <c r="R11" s="39">
        <f t="shared" si="1"/>
        <v>0</v>
      </c>
      <c r="S11" s="40">
        <f t="shared" si="1"/>
        <v>0</v>
      </c>
      <c r="T11" s="42">
        <f t="shared" si="1"/>
        <v>0</v>
      </c>
      <c r="U11" s="39">
        <f t="shared" si="1"/>
        <v>0</v>
      </c>
      <c r="V11" s="40">
        <f t="shared" si="1"/>
        <v>0</v>
      </c>
      <c r="W11" s="42">
        <f t="shared" si="1"/>
        <v>0</v>
      </c>
      <c r="X11" s="39">
        <f t="shared" si="1"/>
        <v>0</v>
      </c>
      <c r="Y11" s="40">
        <f t="shared" si="1"/>
        <v>0</v>
      </c>
      <c r="Z11" s="42">
        <f t="shared" si="1"/>
        <v>0</v>
      </c>
      <c r="AA11" s="39">
        <f t="shared" si="1"/>
        <v>0</v>
      </c>
      <c r="AB11" s="40">
        <f t="shared" si="1"/>
        <v>0</v>
      </c>
      <c r="AC11" s="42">
        <f t="shared" si="1"/>
        <v>0</v>
      </c>
      <c r="AD11" s="39">
        <f t="shared" si="1"/>
        <v>0</v>
      </c>
      <c r="AE11" s="40">
        <f t="shared" si="1"/>
        <v>0</v>
      </c>
      <c r="AF11" s="42">
        <f t="shared" si="1"/>
        <v>0</v>
      </c>
      <c r="AG11" s="39">
        <f t="shared" si="1"/>
        <v>0</v>
      </c>
      <c r="AH11" s="40">
        <f t="shared" si="1"/>
        <v>0</v>
      </c>
    </row>
    <row r="12" spans="1:34" ht="28.2" customHeight="1">
      <c r="A12" s="569" t="s">
        <v>59</v>
      </c>
      <c r="B12" s="762">
        <v>8</v>
      </c>
      <c r="C12" s="585" t="s">
        <v>60</v>
      </c>
      <c r="D12" s="350" t="s">
        <v>304</v>
      </c>
      <c r="E12" s="23">
        <f>'Bilan GES ISTerre'!I12</f>
        <v>14.410323057290313</v>
      </c>
      <c r="F12" s="20">
        <f>E12*(1-'Facteurs d''émissions'!M10)</f>
        <v>13.689806904425797</v>
      </c>
      <c r="G12" s="21">
        <f>E12*(1+'Facteurs d''émissions'!M10)</f>
        <v>15.130839210154829</v>
      </c>
      <c r="H12" s="23">
        <f>'Bilan GES ISTerre'!N12</f>
        <v>17.582754006348132</v>
      </c>
      <c r="I12" s="20">
        <f>H12*(1-'Facteurs d''émissions'!V10)</f>
        <v>16.703616306030725</v>
      </c>
      <c r="J12" s="21">
        <f>H12*(1+'Facteurs d''émissions'!V10)</f>
        <v>18.46189170666554</v>
      </c>
      <c r="K12" s="23">
        <f>'Bilan GES ISTerre'!S12</f>
        <v>0</v>
      </c>
      <c r="L12" s="20">
        <f>K12*(1-'Facteurs d''émissions'!AE10)</f>
        <v>0</v>
      </c>
      <c r="M12" s="21">
        <f>K12*(1+'Facteurs d''émissions'!AE10)</f>
        <v>0</v>
      </c>
      <c r="N12" s="23">
        <f>'Bilan GES ISTerre'!X12</f>
        <v>0</v>
      </c>
      <c r="O12" s="20">
        <f>N12*(1-'Facteurs d''émissions'!AN10)</f>
        <v>0</v>
      </c>
      <c r="P12" s="21">
        <f>N12*(1+'Facteurs d''émissions'!AN10)</f>
        <v>0</v>
      </c>
      <c r="Q12" s="23">
        <f>'Bilan GES ISTerre'!AC12</f>
        <v>0</v>
      </c>
      <c r="R12" s="20">
        <f>Q12*(1-'Facteurs d''émissions'!AW10)</f>
        <v>0</v>
      </c>
      <c r="S12" s="21">
        <f>Q12*(1+'Facteurs d''émissions'!AW10)</f>
        <v>0</v>
      </c>
      <c r="T12" s="23">
        <f>'Bilan GES ISTerre'!AH12</f>
        <v>0</v>
      </c>
      <c r="U12" s="20">
        <f>T12*(1-'Facteurs d''émissions'!BF10)</f>
        <v>0</v>
      </c>
      <c r="V12" s="21">
        <f>T12*(1+'Facteurs d''émissions'!BF10)</f>
        <v>0</v>
      </c>
      <c r="W12" s="23">
        <f>'Bilan GES ISTerre'!AM12</f>
        <v>0</v>
      </c>
      <c r="X12" s="20">
        <f>W12*(1-'Facteurs d''émissions'!BO10)</f>
        <v>0</v>
      </c>
      <c r="Y12" s="21">
        <f>W12*(1+'Facteurs d''émissions'!BO10)</f>
        <v>0</v>
      </c>
      <c r="Z12" s="23">
        <f>'Bilan GES ISTerre'!AR12</f>
        <v>0</v>
      </c>
      <c r="AA12" s="20">
        <f>Z12*(1-'Facteurs d''émissions'!BX10)</f>
        <v>0</v>
      </c>
      <c r="AB12" s="21">
        <f>Z12*(1+'Facteurs d''émissions'!BX10)</f>
        <v>0</v>
      </c>
      <c r="AC12" s="23">
        <f>'Bilan GES ISTerre'!AW12</f>
        <v>0</v>
      </c>
      <c r="AD12" s="20">
        <f>AC12*(1-'Facteurs d''émissions'!CG10)</f>
        <v>0</v>
      </c>
      <c r="AE12" s="21">
        <f>AC12*(1+'Facteurs d''émissions'!CG10)</f>
        <v>0</v>
      </c>
      <c r="AF12" s="23">
        <f>'Bilan GES ISTerre'!BB12</f>
        <v>0</v>
      </c>
      <c r="AG12" s="20">
        <f>AF12*(1-'Facteurs d''émissions'!CP10)</f>
        <v>0</v>
      </c>
      <c r="AH12" s="21">
        <f>AF12*(1+'Facteurs d''émissions'!CP10)</f>
        <v>0</v>
      </c>
    </row>
    <row r="13" spans="1:34" ht="28.2" customHeight="1">
      <c r="A13" s="542"/>
      <c r="B13" s="746"/>
      <c r="C13" s="584"/>
      <c r="D13" s="351" t="s">
        <v>49</v>
      </c>
      <c r="E13" s="26">
        <f>'Bilan GES ISTerre'!I13</f>
        <v>0</v>
      </c>
      <c r="F13" s="27">
        <f>E13*(1-'Facteurs d''émissions'!M11)</f>
        <v>0</v>
      </c>
      <c r="G13" s="28">
        <f>E13*(1+'Facteurs d''émissions'!M11)</f>
        <v>0</v>
      </c>
      <c r="H13" s="26">
        <f>'Bilan GES ISTerre'!N13</f>
        <v>3.1462928460000006</v>
      </c>
      <c r="I13" s="27">
        <f>H13*(1-'Facteurs d''émissions'!V11)</f>
        <v>2.8316635614000005</v>
      </c>
      <c r="J13" s="28">
        <f>H13*(1+'Facteurs d''émissions'!V11)</f>
        <v>3.4609221306000011</v>
      </c>
      <c r="K13" s="26">
        <f>'Bilan GES ISTerre'!S13</f>
        <v>3.0197296800000002</v>
      </c>
      <c r="L13" s="27">
        <f>K13*(1-'Facteurs d''émissions'!AE11)</f>
        <v>2.7177567120000004</v>
      </c>
      <c r="M13" s="28">
        <f>K13*(1+'Facteurs d''émissions'!AE11)</f>
        <v>3.3217026480000005</v>
      </c>
      <c r="N13" s="26">
        <f>'Bilan GES ISTerre'!X13</f>
        <v>0</v>
      </c>
      <c r="O13" s="27">
        <f>N13*(1-'Facteurs d''émissions'!AN11)</f>
        <v>0</v>
      </c>
      <c r="P13" s="28">
        <f>N13*(1+'Facteurs d''émissions'!AN11)</f>
        <v>0</v>
      </c>
      <c r="Q13" s="26">
        <f>'Bilan GES ISTerre'!AC13</f>
        <v>0</v>
      </c>
      <c r="R13" s="27">
        <f>Q13*(1-'Facteurs d''émissions'!AW11)</f>
        <v>0</v>
      </c>
      <c r="S13" s="28">
        <f>Q13*(1+'Facteurs d''émissions'!AW11)</f>
        <v>0</v>
      </c>
      <c r="T13" s="26">
        <f>'Bilan GES ISTerre'!AH13</f>
        <v>0</v>
      </c>
      <c r="U13" s="27">
        <f>T13*(1-'Facteurs d''émissions'!BF11)</f>
        <v>0</v>
      </c>
      <c r="V13" s="28">
        <f>T13*(1+'Facteurs d''émissions'!BF11)</f>
        <v>0</v>
      </c>
      <c r="W13" s="26">
        <f>'Bilan GES ISTerre'!AM13</f>
        <v>0</v>
      </c>
      <c r="X13" s="27">
        <f>W13*(1-'Facteurs d''émissions'!BO11)</f>
        <v>0</v>
      </c>
      <c r="Y13" s="28">
        <f>W13*(1+'Facteurs d''émissions'!BO11)</f>
        <v>0</v>
      </c>
      <c r="Z13" s="26">
        <f>'Bilan GES ISTerre'!AR13</f>
        <v>0</v>
      </c>
      <c r="AA13" s="27">
        <f>Z13*(1-'Facteurs d''émissions'!BX11)</f>
        <v>0</v>
      </c>
      <c r="AB13" s="28">
        <f>Z13*(1+'Facteurs d''émissions'!BX11)</f>
        <v>0</v>
      </c>
      <c r="AC13" s="26">
        <f>'Bilan GES ISTerre'!AW13</f>
        <v>0</v>
      </c>
      <c r="AD13" s="27">
        <f>AC13*(1-'Facteurs d''émissions'!CG11)</f>
        <v>0</v>
      </c>
      <c r="AE13" s="28">
        <f>AC13*(1+'Facteurs d''émissions'!CG11)</f>
        <v>0</v>
      </c>
      <c r="AF13" s="26">
        <f>'Bilan GES ISTerre'!BB13</f>
        <v>0</v>
      </c>
      <c r="AG13" s="27">
        <f>AF13*(1-'Facteurs d''émissions'!CP11)</f>
        <v>0</v>
      </c>
      <c r="AH13" s="28">
        <f>AF13*(1+'Facteurs d''émissions'!CP11)</f>
        <v>0</v>
      </c>
    </row>
    <row r="14" spans="1:34" ht="28.2" customHeight="1">
      <c r="A14" s="542"/>
      <c r="B14" s="746"/>
      <c r="C14" s="584"/>
      <c r="D14" s="351" t="s">
        <v>55</v>
      </c>
      <c r="E14" s="26">
        <f>'Bilan GES ISTerre'!I14</f>
        <v>9.2177538000000006</v>
      </c>
      <c r="F14" s="27">
        <f>E14*(1-'Facteurs d''émissions'!M12)</f>
        <v>6.4524276599999997</v>
      </c>
      <c r="G14" s="28">
        <f>E14*(1+'Facteurs d''émissions'!M12)</f>
        <v>11.983079940000001</v>
      </c>
      <c r="H14" s="26">
        <f>'Bilan GES ISTerre'!N14</f>
        <v>8.8573504599065433</v>
      </c>
      <c r="I14" s="27">
        <f>H14*(1-'Facteurs d''émissions'!V12)</f>
        <v>6.2001453219345803</v>
      </c>
      <c r="J14" s="28">
        <f>H14*(1+'Facteurs d''émissions'!V12)</f>
        <v>11.514555597878507</v>
      </c>
      <c r="K14" s="26">
        <f>'Bilan GES ISTerre'!S14</f>
        <v>6.1889399999999997E-2</v>
      </c>
      <c r="L14" s="27">
        <f>K14*(1-'Facteurs d''émissions'!AE12)</f>
        <v>4.3322579999999992E-2</v>
      </c>
      <c r="M14" s="28">
        <f>K14*(1+'Facteurs d''émissions'!AE12)</f>
        <v>8.0456219999999995E-2</v>
      </c>
      <c r="N14" s="26">
        <f>'Bilan GES ISTerre'!X14</f>
        <v>0</v>
      </c>
      <c r="O14" s="27">
        <f>N14*(1-'Facteurs d''émissions'!AN12)</f>
        <v>0</v>
      </c>
      <c r="P14" s="28">
        <f>N14*(1+'Facteurs d''émissions'!AN12)</f>
        <v>0</v>
      </c>
      <c r="Q14" s="26">
        <f>'Bilan GES ISTerre'!AC14</f>
        <v>0</v>
      </c>
      <c r="R14" s="27">
        <f>Q14*(1-'Facteurs d''émissions'!AW12)</f>
        <v>0</v>
      </c>
      <c r="S14" s="28">
        <f>Q14*(1+'Facteurs d''émissions'!AW12)</f>
        <v>0</v>
      </c>
      <c r="T14" s="26">
        <f>'Bilan GES ISTerre'!AH14</f>
        <v>0</v>
      </c>
      <c r="U14" s="27">
        <f>T14*(1-'Facteurs d''émissions'!BF12)</f>
        <v>0</v>
      </c>
      <c r="V14" s="28">
        <f>T14*(1+'Facteurs d''émissions'!BF12)</f>
        <v>0</v>
      </c>
      <c r="W14" s="26">
        <f>'Bilan GES ISTerre'!AM14</f>
        <v>0</v>
      </c>
      <c r="X14" s="27">
        <f>W14*(1-'Facteurs d''émissions'!BO12)</f>
        <v>0</v>
      </c>
      <c r="Y14" s="28">
        <f>W14*(1+'Facteurs d''émissions'!BO12)</f>
        <v>0</v>
      </c>
      <c r="Z14" s="26">
        <f>'Bilan GES ISTerre'!AR14</f>
        <v>0</v>
      </c>
      <c r="AA14" s="27">
        <f>Z14*(1-'Facteurs d''émissions'!BX12)</f>
        <v>0</v>
      </c>
      <c r="AB14" s="28">
        <f>Z14*(1+'Facteurs d''émissions'!BX12)</f>
        <v>0</v>
      </c>
      <c r="AC14" s="26">
        <f>'Bilan GES ISTerre'!AW14</f>
        <v>0</v>
      </c>
      <c r="AD14" s="27">
        <f>AC14*(1-'Facteurs d''émissions'!CG12)</f>
        <v>0</v>
      </c>
      <c r="AE14" s="28">
        <f>AC14*(1+'Facteurs d''émissions'!CG12)</f>
        <v>0</v>
      </c>
      <c r="AF14" s="26">
        <f>'Bilan GES ISTerre'!BB14</f>
        <v>0</v>
      </c>
      <c r="AG14" s="27">
        <f>AF14*(1-'Facteurs d''émissions'!CP12)</f>
        <v>0</v>
      </c>
      <c r="AH14" s="28">
        <f>AF14*(1+'Facteurs d''émissions'!CP12)</f>
        <v>0</v>
      </c>
    </row>
    <row r="15" spans="1:34" ht="30.6" customHeight="1">
      <c r="A15" s="542"/>
      <c r="B15" s="745">
        <v>9</v>
      </c>
      <c r="C15" s="747" t="s">
        <v>305</v>
      </c>
      <c r="D15" s="351" t="s">
        <v>63</v>
      </c>
      <c r="E15" s="26">
        <f>'Bilan GES ISTerre'!I16</f>
        <v>7.2538944168000024</v>
      </c>
      <c r="F15" s="27">
        <f>E15*(1-'Facteurs d''émissions'!$M$13)</f>
        <v>6.5285049751200024</v>
      </c>
      <c r="G15" s="28">
        <f>E15*(1+'Facteurs d''émissions'!$M$13)</f>
        <v>7.9792838584800032</v>
      </c>
      <c r="H15" s="26">
        <f>'Bilan GES ISTerre'!N16</f>
        <v>14.227877416800002</v>
      </c>
      <c r="I15" s="27">
        <f>H15*(1-'Facteurs d''émissions'!$V$13)</f>
        <v>12.805089675120001</v>
      </c>
      <c r="J15" s="28">
        <f>H15*(1+'Facteurs d''émissions'!$V$13)</f>
        <v>15.650665158480004</v>
      </c>
      <c r="K15" s="26">
        <f>'Bilan GES ISTerre'!S16</f>
        <v>7.2538944168000024</v>
      </c>
      <c r="L15" s="27">
        <f>K15*(1-'Facteurs d''émissions'!$AE$13)</f>
        <v>6.5285049751200024</v>
      </c>
      <c r="M15" s="28">
        <f>K15*(1+'Facteurs d''émissions'!$AE$13)</f>
        <v>7.9792838584800032</v>
      </c>
      <c r="N15" s="26">
        <f>'Bilan GES ISTerre'!X16</f>
        <v>0</v>
      </c>
      <c r="O15" s="27">
        <f>N15*(1-'Facteurs d''émissions'!$AN$13)</f>
        <v>0</v>
      </c>
      <c r="P15" s="28">
        <f>N15*(1+'Facteurs d''émissions'!$AN$13)</f>
        <v>0</v>
      </c>
      <c r="Q15" s="26">
        <f>'Bilan GES ISTerre'!AC16</f>
        <v>0</v>
      </c>
      <c r="R15" s="27">
        <f>Q15*(1-'Facteurs d''émissions'!$AW$13)</f>
        <v>0</v>
      </c>
      <c r="S15" s="28">
        <f>Q15*(1+'Facteurs d''émissions'!$AW$13)</f>
        <v>0</v>
      </c>
      <c r="T15" s="26">
        <f>'Bilan GES ISTerre'!AH16</f>
        <v>0</v>
      </c>
      <c r="U15" s="27">
        <f>T15*(1-'Facteurs d''émissions'!$BF$13)</f>
        <v>0</v>
      </c>
      <c r="V15" s="28">
        <f>T15*(1+'Facteurs d''émissions'!$BF$13)</f>
        <v>0</v>
      </c>
      <c r="W15" s="26">
        <f>'Bilan GES ISTerre'!AM16</f>
        <v>0</v>
      </c>
      <c r="X15" s="27">
        <f>W15*(1-'Facteurs d''émissions'!$BO$13)</f>
        <v>0</v>
      </c>
      <c r="Y15" s="28">
        <f>W15*(1+'Facteurs d''émissions'!$BO$13)</f>
        <v>0</v>
      </c>
      <c r="Z15" s="26">
        <f>'Bilan GES ISTerre'!AR16</f>
        <v>0</v>
      </c>
      <c r="AA15" s="27">
        <f>Z15*(1-'Facteurs d''émissions'!$BX$13)</f>
        <v>0</v>
      </c>
      <c r="AB15" s="28">
        <f>Z15*(1+'Facteurs d''émissions'!$BX$13)</f>
        <v>0</v>
      </c>
      <c r="AC15" s="26">
        <f>'Bilan GES ISTerre'!AW16</f>
        <v>0</v>
      </c>
      <c r="AD15" s="27">
        <f>AC15*(1-'Facteurs d''émissions'!$CG$13)</f>
        <v>0</v>
      </c>
      <c r="AE15" s="28">
        <f>AC15*(1+'Facteurs d''émissions'!$CG$13)</f>
        <v>0</v>
      </c>
      <c r="AF15" s="26">
        <f>'Bilan GES ISTerre'!BB16</f>
        <v>0</v>
      </c>
      <c r="AG15" s="27">
        <f>AF15*(1-'Facteurs d''émissions'!$CP$13)</f>
        <v>0</v>
      </c>
      <c r="AH15" s="28">
        <f>AF15*(1+'Facteurs d''émissions'!$CP$13)</f>
        <v>0</v>
      </c>
    </row>
    <row r="16" spans="1:34" ht="30.6" customHeight="1">
      <c r="A16" s="542"/>
      <c r="B16" s="746"/>
      <c r="C16" s="584"/>
      <c r="D16" s="351" t="s">
        <v>306</v>
      </c>
      <c r="E16" s="26">
        <f>'Bilan GES ISTerre'!I17</f>
        <v>0</v>
      </c>
      <c r="F16" s="27">
        <f>E16*(1-'Facteurs d''émissions'!$M$13)</f>
        <v>0</v>
      </c>
      <c r="G16" s="28">
        <f>E16*(1+'Facteurs d''émissions'!$M$13)</f>
        <v>0</v>
      </c>
      <c r="H16" s="26">
        <f>'Bilan GES ISTerre'!N17</f>
        <v>49.747859999999996</v>
      </c>
      <c r="I16" s="27">
        <f>H16*(1-'Facteurs d''émissions'!$V$13)</f>
        <v>44.773073999999994</v>
      </c>
      <c r="J16" s="28">
        <f>H16*(1+'Facteurs d''émissions'!$V$13)</f>
        <v>54.722645999999997</v>
      </c>
      <c r="K16" s="26">
        <f>'Bilan GES ISTerre'!S17</f>
        <v>0</v>
      </c>
      <c r="L16" s="27">
        <f>K16*(1-'Facteurs d''émissions'!$AE$13)</f>
        <v>0</v>
      </c>
      <c r="M16" s="28">
        <f>K16*(1+'Facteurs d''émissions'!$AE$13)</f>
        <v>0</v>
      </c>
      <c r="N16" s="26">
        <f>'Bilan GES ISTerre'!X17</f>
        <v>0</v>
      </c>
      <c r="O16" s="27">
        <f>N16*(1-'Facteurs d''émissions'!$AN$13)</f>
        <v>0</v>
      </c>
      <c r="P16" s="28">
        <f>N16*(1+'Facteurs d''émissions'!$AN$13)</f>
        <v>0</v>
      </c>
      <c r="Q16" s="26">
        <f>'Bilan GES ISTerre'!AC17</f>
        <v>0</v>
      </c>
      <c r="R16" s="27">
        <f>Q16*(1-'Facteurs d''émissions'!$AW$13)</f>
        <v>0</v>
      </c>
      <c r="S16" s="28">
        <f>Q16*(1+'Facteurs d''émissions'!$AW$13)</f>
        <v>0</v>
      </c>
      <c r="T16" s="26">
        <f>'Bilan GES ISTerre'!AH17</f>
        <v>0</v>
      </c>
      <c r="U16" s="27">
        <f>T16*(1-'Facteurs d''émissions'!$BF$13)</f>
        <v>0</v>
      </c>
      <c r="V16" s="28">
        <f>T16*(1+'Facteurs d''émissions'!$BF$13)</f>
        <v>0</v>
      </c>
      <c r="W16" s="26">
        <f>'Bilan GES ISTerre'!AM17</f>
        <v>0</v>
      </c>
      <c r="X16" s="27">
        <f>W16*(1-'Facteurs d''émissions'!$BO$13)</f>
        <v>0</v>
      </c>
      <c r="Y16" s="28">
        <f>W16*(1+'Facteurs d''émissions'!$BO$13)</f>
        <v>0</v>
      </c>
      <c r="Z16" s="26">
        <f>'Bilan GES ISTerre'!AR17</f>
        <v>0</v>
      </c>
      <c r="AA16" s="27">
        <f>Z16*(1-'Facteurs d''émissions'!$BX$13)</f>
        <v>0</v>
      </c>
      <c r="AB16" s="28">
        <f>Z16*(1+'Facteurs d''émissions'!$BX$13)</f>
        <v>0</v>
      </c>
      <c r="AC16" s="26">
        <f>'Bilan GES ISTerre'!AW17</f>
        <v>0</v>
      </c>
      <c r="AD16" s="27">
        <f>AC16*(1-'Facteurs d''émissions'!$CG$13)</f>
        <v>0</v>
      </c>
      <c r="AE16" s="28">
        <f>AC16*(1+'Facteurs d''émissions'!$CG$13)</f>
        <v>0</v>
      </c>
      <c r="AF16" s="26">
        <f>'Bilan GES ISTerre'!BB17</f>
        <v>0</v>
      </c>
      <c r="AG16" s="27">
        <f>AF16*(1-'Facteurs d''émissions'!$CP$13)</f>
        <v>0</v>
      </c>
      <c r="AH16" s="28">
        <f>AF16*(1+'Facteurs d''émissions'!$CP$13)</f>
        <v>0</v>
      </c>
    </row>
    <row r="17" spans="1:34" ht="30.6" customHeight="1">
      <c r="A17" s="570"/>
      <c r="B17" s="378">
        <v>10</v>
      </c>
      <c r="C17" s="377" t="s">
        <v>66</v>
      </c>
      <c r="D17" s="351" t="s">
        <v>67</v>
      </c>
      <c r="E17" s="26">
        <f>'Bilan GES ISTerre'!I19</f>
        <v>4.306</v>
      </c>
      <c r="F17" s="27">
        <f>E17*(1-'Facteurs d''émissions'!M18)</f>
        <v>2.153</v>
      </c>
      <c r="G17" s="28">
        <f>E17*(1+'Facteurs d''émissions'!M18)</f>
        <v>6.4589999999999996</v>
      </c>
      <c r="H17" s="26">
        <f>'Bilan GES ISTerre'!N19</f>
        <v>21.693999999999999</v>
      </c>
      <c r="I17" s="27">
        <f>H17*(1-'Facteurs d''émissions'!V18)</f>
        <v>10.847</v>
      </c>
      <c r="J17" s="28">
        <f>H17*(1+'Facteurs d''émissions'!V18)</f>
        <v>32.540999999999997</v>
      </c>
      <c r="K17" s="26">
        <f>'Bilan GES ISTerre'!S19</f>
        <v>16.457999999999998</v>
      </c>
      <c r="L17" s="27">
        <f>K17*(1-'Facteurs d''émissions'!AE18)</f>
        <v>8.2289999999999992</v>
      </c>
      <c r="M17" s="28">
        <f>K17*(1+'Facteurs d''émissions'!AE18)</f>
        <v>24.686999999999998</v>
      </c>
      <c r="N17" s="26">
        <f>'Bilan GES ISTerre'!X19</f>
        <v>4.306</v>
      </c>
      <c r="O17" s="27">
        <f>N17*(1-'Facteurs d''émissions'!AN18)</f>
        <v>2.153</v>
      </c>
      <c r="P17" s="28">
        <f>N17*(1+'Facteurs d''émissions'!AN18)</f>
        <v>6.4589999999999996</v>
      </c>
      <c r="Q17" s="26">
        <f>'Bilan GES ISTerre'!AC19</f>
        <v>0</v>
      </c>
      <c r="R17" s="27">
        <f>Q17*(1-'Facteurs d''émissions'!AW18)</f>
        <v>0</v>
      </c>
      <c r="S17" s="28">
        <f>Q17*(1+'Facteurs d''émissions'!AW18)</f>
        <v>0</v>
      </c>
      <c r="T17" s="26">
        <f>'Bilan GES ISTerre'!AH19</f>
        <v>0</v>
      </c>
      <c r="U17" s="27">
        <f>T17*(1-'Facteurs d''émissions'!BF18)</f>
        <v>0</v>
      </c>
      <c r="V17" s="28">
        <f>T17*(1+'Facteurs d''émissions'!BF18)</f>
        <v>0</v>
      </c>
      <c r="W17" s="26">
        <f>'Bilan GES ISTerre'!AM19</f>
        <v>0</v>
      </c>
      <c r="X17" s="27">
        <f>W17*(1-'Facteurs d''émissions'!BO18)</f>
        <v>0</v>
      </c>
      <c r="Y17" s="28">
        <f>W17*(1+'Facteurs d''émissions'!BO18)</f>
        <v>0</v>
      </c>
      <c r="Z17" s="26">
        <f>'Bilan GES ISTerre'!AR19</f>
        <v>0</v>
      </c>
      <c r="AA17" s="27">
        <f>Z17*(1-'Facteurs d''émissions'!BX18)</f>
        <v>0</v>
      </c>
      <c r="AB17" s="28">
        <f>Z17*(1+'Facteurs d''émissions'!BX18)</f>
        <v>0</v>
      </c>
      <c r="AC17" s="26">
        <f>'Bilan GES ISTerre'!AW19</f>
        <v>0</v>
      </c>
      <c r="AD17" s="27">
        <f>AC17*(1-'Facteurs d''émissions'!CG18)</f>
        <v>0</v>
      </c>
      <c r="AE17" s="28">
        <f>AC17*(1+'Facteurs d''émissions'!CG18)</f>
        <v>0</v>
      </c>
      <c r="AF17" s="26">
        <f>'Bilan GES ISTerre'!BB19</f>
        <v>0</v>
      </c>
      <c r="AG17" s="27">
        <f>AF17*(1-'Facteurs d''émissions'!CP18)</f>
        <v>0</v>
      </c>
      <c r="AH17" s="28">
        <f>AF17*(1+'Facteurs d''émissions'!CP18)</f>
        <v>0</v>
      </c>
    </row>
    <row r="18" spans="1:34" ht="19.649999999999999" customHeight="1">
      <c r="A18" s="571"/>
      <c r="B18" s="745">
        <v>13</v>
      </c>
      <c r="C18" s="747" t="s">
        <v>68</v>
      </c>
      <c r="D18" s="351" t="s">
        <v>69</v>
      </c>
      <c r="E18" s="26">
        <f>'Bilan GES ISTerre'!I20</f>
        <v>0</v>
      </c>
      <c r="F18" s="27">
        <f>E18*(1-'Facteurs d''émissions'!M19)</f>
        <v>0</v>
      </c>
      <c r="G18" s="28">
        <f>E18*(1+'Facteurs d''émissions'!M19)</f>
        <v>0</v>
      </c>
      <c r="H18" s="26">
        <f>'Bilan GES ISTerre'!N20</f>
        <v>37.723040999999995</v>
      </c>
      <c r="I18" s="27">
        <f>H18*(1-'Facteurs d''émissions'!V19)</f>
        <v>30.178432799999996</v>
      </c>
      <c r="J18" s="28">
        <f>H18*(1+'Facteurs d''émissions'!V19)</f>
        <v>45.267649199999994</v>
      </c>
      <c r="K18" s="26">
        <f>'Bilan GES ISTerre'!S20</f>
        <v>0</v>
      </c>
      <c r="L18" s="27">
        <f>K18*(1-'Facteurs d''émissions'!AE19)</f>
        <v>0</v>
      </c>
      <c r="M18" s="28">
        <f>K18*(1+'Facteurs d''émissions'!AE19)</f>
        <v>0</v>
      </c>
      <c r="N18" s="26">
        <f>'Bilan GES ISTerre'!X20</f>
        <v>0</v>
      </c>
      <c r="O18" s="27">
        <f>N18*(1-'Facteurs d''émissions'!AN19)</f>
        <v>0</v>
      </c>
      <c r="P18" s="28">
        <f>N18*(1+'Facteurs d''émissions'!AN19)</f>
        <v>0</v>
      </c>
      <c r="Q18" s="26">
        <f>'Bilan GES ISTerre'!AC20</f>
        <v>0</v>
      </c>
      <c r="R18" s="27">
        <f>Q18*(1-'Facteurs d''émissions'!AW19)</f>
        <v>0</v>
      </c>
      <c r="S18" s="28">
        <f>Q18*(1+'Facteurs d''émissions'!AW19)</f>
        <v>0</v>
      </c>
      <c r="T18" s="26">
        <f>'Bilan GES ISTerre'!AH20</f>
        <v>0</v>
      </c>
      <c r="U18" s="27">
        <f>T18*(1-'Facteurs d''émissions'!BF19)</f>
        <v>0</v>
      </c>
      <c r="V18" s="28">
        <f>T18*(1+'Facteurs d''émissions'!BF19)</f>
        <v>0</v>
      </c>
      <c r="W18" s="26">
        <f>'Bilan GES ISTerre'!AM20</f>
        <v>0</v>
      </c>
      <c r="X18" s="27">
        <f>W18*(1-'Facteurs d''émissions'!BO19)</f>
        <v>0</v>
      </c>
      <c r="Y18" s="28">
        <f>W18*(1+'Facteurs d''émissions'!BO19)</f>
        <v>0</v>
      </c>
      <c r="Z18" s="26">
        <f>'Bilan GES ISTerre'!AR20</f>
        <v>0</v>
      </c>
      <c r="AA18" s="27">
        <f>Z18*(1-'Facteurs d''émissions'!BX19)</f>
        <v>0</v>
      </c>
      <c r="AB18" s="28">
        <f>Z18*(1+'Facteurs d''émissions'!BX19)</f>
        <v>0</v>
      </c>
      <c r="AC18" s="26">
        <f>'Bilan GES ISTerre'!AW20</f>
        <v>0</v>
      </c>
      <c r="AD18" s="27">
        <f>AC18*(1-'Facteurs d''émissions'!CG19)</f>
        <v>0</v>
      </c>
      <c r="AE18" s="28">
        <f>AC18*(1+'Facteurs d''émissions'!CG19)</f>
        <v>0</v>
      </c>
      <c r="AF18" s="26">
        <f>'Bilan GES ISTerre'!BB20</f>
        <v>0</v>
      </c>
      <c r="AG18" s="27">
        <f>AF18*(1-'Facteurs d''émissions'!CP19)</f>
        <v>0</v>
      </c>
      <c r="AH18" s="28">
        <f>AF18*(1+'Facteurs d''émissions'!CP19)</f>
        <v>0</v>
      </c>
    </row>
    <row r="19" spans="1:34" ht="19.649999999999999" customHeight="1">
      <c r="A19" s="571"/>
      <c r="B19" s="746"/>
      <c r="C19" s="584"/>
      <c r="D19" s="351" t="s">
        <v>105</v>
      </c>
      <c r="E19" s="26">
        <f>'Bilan GES ISTerre'!I21</f>
        <v>0</v>
      </c>
      <c r="F19" s="27">
        <f>E19*(1-'Facteurs d''émissions'!M20)</f>
        <v>0</v>
      </c>
      <c r="G19" s="28">
        <f>E19*(1+'Facteurs d''émissions'!M20)</f>
        <v>0</v>
      </c>
      <c r="H19" s="26">
        <f>'Bilan GES ISTerre'!N21</f>
        <v>489.60430500000001</v>
      </c>
      <c r="I19" s="27">
        <f>H19*(1-'Facteurs d''émissions'!V20)</f>
        <v>244.80215250000001</v>
      </c>
      <c r="J19" s="28">
        <f>H19*(1+'Facteurs d''émissions'!V20)</f>
        <v>734.40645749999999</v>
      </c>
      <c r="K19" s="26">
        <f>'Bilan GES ISTerre'!S21</f>
        <v>0</v>
      </c>
      <c r="L19" s="27">
        <f>K19*(1-'Facteurs d''émissions'!AE20)</f>
        <v>0</v>
      </c>
      <c r="M19" s="28">
        <f>K19*(1+'Facteurs d''émissions'!AE20)</f>
        <v>0</v>
      </c>
      <c r="N19" s="26">
        <f>'Bilan GES ISTerre'!X21</f>
        <v>0</v>
      </c>
      <c r="O19" s="27">
        <f>N19*(1-'Facteurs d''émissions'!AN20)</f>
        <v>0</v>
      </c>
      <c r="P19" s="28">
        <f>N19*(1+'Facteurs d''émissions'!AN20)</f>
        <v>0</v>
      </c>
      <c r="Q19" s="26">
        <f>'Bilan GES ISTerre'!AC21</f>
        <v>0</v>
      </c>
      <c r="R19" s="27">
        <f>Q19*(1-'Facteurs d''émissions'!AW20)</f>
        <v>0</v>
      </c>
      <c r="S19" s="28">
        <f>Q19*(1+'Facteurs d''émissions'!AW20)</f>
        <v>0</v>
      </c>
      <c r="T19" s="26">
        <f>'Bilan GES ISTerre'!AH21</f>
        <v>0</v>
      </c>
      <c r="U19" s="27">
        <f>T19*(1-'Facteurs d''émissions'!BF20)</f>
        <v>0</v>
      </c>
      <c r="V19" s="28">
        <f>T19*(1+'Facteurs d''émissions'!BF20)</f>
        <v>0</v>
      </c>
      <c r="W19" s="26">
        <f>'Bilan GES ISTerre'!AM21</f>
        <v>0</v>
      </c>
      <c r="X19" s="27">
        <f>W19*(1-'Facteurs d''émissions'!BO20)</f>
        <v>0</v>
      </c>
      <c r="Y19" s="28">
        <f>W19*(1+'Facteurs d''émissions'!BO20)</f>
        <v>0</v>
      </c>
      <c r="Z19" s="26">
        <f>'Bilan GES ISTerre'!AR21</f>
        <v>0</v>
      </c>
      <c r="AA19" s="27">
        <f>Z19*(1-'Facteurs d''émissions'!BX20)</f>
        <v>0</v>
      </c>
      <c r="AB19" s="28">
        <f>Z19*(1+'Facteurs d''émissions'!BX20)</f>
        <v>0</v>
      </c>
      <c r="AC19" s="26">
        <f>'Bilan GES ISTerre'!AW21</f>
        <v>0</v>
      </c>
      <c r="AD19" s="27">
        <f>AC19*(1-'Facteurs d''émissions'!CG20)</f>
        <v>0</v>
      </c>
      <c r="AE19" s="28">
        <f>AC19*(1+'Facteurs d''émissions'!CG20)</f>
        <v>0</v>
      </c>
      <c r="AF19" s="26">
        <f>'Bilan GES ISTerre'!BB21</f>
        <v>0</v>
      </c>
      <c r="AG19" s="27">
        <f>AF19*(1-'Facteurs d''émissions'!CP20)</f>
        <v>0</v>
      </c>
      <c r="AH19" s="28">
        <f>AF19*(1+'Facteurs d''émissions'!CP20)</f>
        <v>0</v>
      </c>
    </row>
    <row r="20" spans="1:34" ht="30.6" customHeight="1">
      <c r="A20" s="571"/>
      <c r="B20" s="746"/>
      <c r="C20" s="584"/>
      <c r="D20" s="351" t="s">
        <v>106</v>
      </c>
      <c r="E20" s="26">
        <f>'Bilan GES ISTerre'!I22</f>
        <v>0</v>
      </c>
      <c r="F20" s="27">
        <f>E20*(1-'Facteurs d''émissions'!M21)</f>
        <v>0</v>
      </c>
      <c r="G20" s="28">
        <f>E20*(1+'Facteurs d''émissions'!M21)</f>
        <v>0</v>
      </c>
      <c r="H20" s="26">
        <f>'Bilan GES ISTerre'!N22</f>
        <v>116.71889399999999</v>
      </c>
      <c r="I20" s="27">
        <f>H20*(1-'Facteurs d''émissions'!V21)</f>
        <v>58.359446999999996</v>
      </c>
      <c r="J20" s="28">
        <f>H20*(1+'Facteurs d''émissions'!V21)</f>
        <v>175.07834099999999</v>
      </c>
      <c r="K20" s="26">
        <f>'Bilan GES ISTerre'!S22</f>
        <v>0</v>
      </c>
      <c r="L20" s="27">
        <f>K20*(1-'Facteurs d''émissions'!AE21)</f>
        <v>0</v>
      </c>
      <c r="M20" s="28">
        <f>K20*(1+'Facteurs d''émissions'!AE21)</f>
        <v>0</v>
      </c>
      <c r="N20" s="26">
        <f>'Bilan GES ISTerre'!X22</f>
        <v>0</v>
      </c>
      <c r="O20" s="27">
        <f>N20*(1-'Facteurs d''émissions'!AN21)</f>
        <v>0</v>
      </c>
      <c r="P20" s="28">
        <f>N20*(1+'Facteurs d''émissions'!AN21)</f>
        <v>0</v>
      </c>
      <c r="Q20" s="26">
        <f>'Bilan GES ISTerre'!AC22</f>
        <v>0</v>
      </c>
      <c r="R20" s="27">
        <f>Q20*(1-'Facteurs d''émissions'!AW21)</f>
        <v>0</v>
      </c>
      <c r="S20" s="28">
        <f>Q20*(1+'Facteurs d''émissions'!AW21)</f>
        <v>0</v>
      </c>
      <c r="T20" s="26">
        <f>'Bilan GES ISTerre'!AH22</f>
        <v>0</v>
      </c>
      <c r="U20" s="27">
        <f>T20*(1-'Facteurs d''émissions'!BF21)</f>
        <v>0</v>
      </c>
      <c r="V20" s="28">
        <f>T20*(1+'Facteurs d''émissions'!BF21)</f>
        <v>0</v>
      </c>
      <c r="W20" s="26">
        <f>'Bilan GES ISTerre'!AM22</f>
        <v>0</v>
      </c>
      <c r="X20" s="27">
        <f>W20*(1-'Facteurs d''émissions'!BO21)</f>
        <v>0</v>
      </c>
      <c r="Y20" s="28">
        <f>W20*(1+'Facteurs d''émissions'!BO21)</f>
        <v>0</v>
      </c>
      <c r="Z20" s="26">
        <f>'Bilan GES ISTerre'!AR22</f>
        <v>0</v>
      </c>
      <c r="AA20" s="27">
        <f>Z20*(1-'Facteurs d''émissions'!BX21)</f>
        <v>0</v>
      </c>
      <c r="AB20" s="28">
        <f>Z20*(1+'Facteurs d''émissions'!BX21)</f>
        <v>0</v>
      </c>
      <c r="AC20" s="26">
        <f>'Bilan GES ISTerre'!AW22</f>
        <v>0</v>
      </c>
      <c r="AD20" s="27">
        <f>AC20*(1-'Facteurs d''émissions'!CG21)</f>
        <v>0</v>
      </c>
      <c r="AE20" s="28">
        <f>AC20*(1+'Facteurs d''émissions'!CG21)</f>
        <v>0</v>
      </c>
      <c r="AF20" s="26">
        <f>'Bilan GES ISTerre'!BB22</f>
        <v>0</v>
      </c>
      <c r="AG20" s="27">
        <f>AF20*(1-'Facteurs d''émissions'!CP21)</f>
        <v>0</v>
      </c>
      <c r="AH20" s="28">
        <f>AF20*(1+'Facteurs d''émissions'!CP21)</f>
        <v>0</v>
      </c>
    </row>
    <row r="21" spans="1:34" ht="19.649999999999999" customHeight="1">
      <c r="A21" s="571"/>
      <c r="B21" s="746"/>
      <c r="C21" s="584"/>
      <c r="D21" s="351" t="s">
        <v>72</v>
      </c>
      <c r="E21" s="26">
        <f>'Bilan GES ISTerre'!I23</f>
        <v>0</v>
      </c>
      <c r="F21" s="27">
        <f>E21*(1-'Facteurs d''émissions'!M22)</f>
        <v>0</v>
      </c>
      <c r="G21" s="28">
        <f>E21*(1+'Facteurs d''émissions'!M22)</f>
        <v>0</v>
      </c>
      <c r="H21" s="26">
        <f>'Bilan GES ISTerre'!N23</f>
        <v>0.89846334000000005</v>
      </c>
      <c r="I21" s="27">
        <f>H21*(1-'Facteurs d''émissions'!V22)</f>
        <v>0.35938533600000006</v>
      </c>
      <c r="J21" s="28">
        <f>H21*(1+'Facteurs d''émissions'!V22)</f>
        <v>1.4375413440000002</v>
      </c>
      <c r="K21" s="26">
        <f>'Bilan GES ISTerre'!S23</f>
        <v>0</v>
      </c>
      <c r="L21" s="27">
        <f>K21*(1-'Facteurs d''émissions'!AE22)</f>
        <v>0</v>
      </c>
      <c r="M21" s="28">
        <f>K21*(1+'Facteurs d''émissions'!AE22)</f>
        <v>0</v>
      </c>
      <c r="N21" s="26">
        <f>'Bilan GES ISTerre'!X23</f>
        <v>0</v>
      </c>
      <c r="O21" s="27">
        <f>N21*(1-'Facteurs d''émissions'!AN22)</f>
        <v>0</v>
      </c>
      <c r="P21" s="28">
        <f>N21*(1+'Facteurs d''émissions'!AN22)</f>
        <v>0</v>
      </c>
      <c r="Q21" s="26">
        <f>'Bilan GES ISTerre'!AC23</f>
        <v>0</v>
      </c>
      <c r="R21" s="27">
        <f>Q21*(1-'Facteurs d''émissions'!AW22)</f>
        <v>0</v>
      </c>
      <c r="S21" s="28">
        <f>Q21*(1+'Facteurs d''émissions'!AW22)</f>
        <v>0</v>
      </c>
      <c r="T21" s="26">
        <f>'Bilan GES ISTerre'!AH23</f>
        <v>0</v>
      </c>
      <c r="U21" s="27">
        <f>T21*(1-'Facteurs d''émissions'!BF22)</f>
        <v>0</v>
      </c>
      <c r="V21" s="28">
        <f>T21*(1+'Facteurs d''émissions'!BF22)</f>
        <v>0</v>
      </c>
      <c r="W21" s="26">
        <f>'Bilan GES ISTerre'!AM23</f>
        <v>0</v>
      </c>
      <c r="X21" s="27">
        <f>W21*(1-'Facteurs d''émissions'!BO22)</f>
        <v>0</v>
      </c>
      <c r="Y21" s="28">
        <f>W21*(1+'Facteurs d''émissions'!BO22)</f>
        <v>0</v>
      </c>
      <c r="Z21" s="26">
        <f>'Bilan GES ISTerre'!AR23</f>
        <v>0</v>
      </c>
      <c r="AA21" s="27">
        <f>Z21*(1-'Facteurs d''émissions'!BX22)</f>
        <v>0</v>
      </c>
      <c r="AB21" s="28">
        <f>Z21*(1+'Facteurs d''émissions'!BX22)</f>
        <v>0</v>
      </c>
      <c r="AC21" s="26">
        <f>'Bilan GES ISTerre'!AW23</f>
        <v>0</v>
      </c>
      <c r="AD21" s="27">
        <f>AC21*(1-'Facteurs d''émissions'!CG22)</f>
        <v>0</v>
      </c>
      <c r="AE21" s="28">
        <f>AC21*(1+'Facteurs d''émissions'!CG22)</f>
        <v>0</v>
      </c>
      <c r="AF21" s="26">
        <f>'Bilan GES ISTerre'!BB23</f>
        <v>0</v>
      </c>
      <c r="AG21" s="27">
        <f>AF21*(1-'Facteurs d''émissions'!CP22)</f>
        <v>0</v>
      </c>
      <c r="AH21" s="28">
        <f>AF21*(1+'Facteurs d''émissions'!CP22)</f>
        <v>0</v>
      </c>
    </row>
    <row r="22" spans="1:34" ht="19.649999999999999" customHeight="1">
      <c r="A22" s="571"/>
      <c r="B22" s="746"/>
      <c r="C22" s="584"/>
      <c r="D22" s="351" t="s">
        <v>73</v>
      </c>
      <c r="E22" s="26">
        <f>'Bilan GES ISTerre'!I24</f>
        <v>0</v>
      </c>
      <c r="F22" s="27">
        <f>E22*(1-'Facteurs d''émissions'!M23)</f>
        <v>0</v>
      </c>
      <c r="G22" s="28">
        <f>E22*(1+'Facteurs d''émissions'!M23)</f>
        <v>0</v>
      </c>
      <c r="H22" s="26">
        <f>'Bilan GES ISTerre'!N24</f>
        <v>11.798232599999999</v>
      </c>
      <c r="I22" s="27">
        <f>H22*(1-'Facteurs d''émissions'!V23)</f>
        <v>4.7192930399999993</v>
      </c>
      <c r="J22" s="28">
        <f>H22*(1+'Facteurs d''émissions'!V23)</f>
        <v>18.877172159999997</v>
      </c>
      <c r="K22" s="26">
        <f>'Bilan GES ISTerre'!S24</f>
        <v>0</v>
      </c>
      <c r="L22" s="27">
        <f>K22*(1-'Facteurs d''émissions'!AE23)</f>
        <v>0</v>
      </c>
      <c r="M22" s="28">
        <f>K22*(1+'Facteurs d''émissions'!AE23)</f>
        <v>0</v>
      </c>
      <c r="N22" s="26">
        <f>'Bilan GES ISTerre'!X24</f>
        <v>0</v>
      </c>
      <c r="O22" s="27">
        <f>N22*(1-'Facteurs d''émissions'!AN23)</f>
        <v>0</v>
      </c>
      <c r="P22" s="28">
        <f>N22*(1+'Facteurs d''émissions'!AN23)</f>
        <v>0</v>
      </c>
      <c r="Q22" s="26">
        <f>'Bilan GES ISTerre'!AC24</f>
        <v>0</v>
      </c>
      <c r="R22" s="27">
        <f>Q22*(1-'Facteurs d''émissions'!AW23)</f>
        <v>0</v>
      </c>
      <c r="S22" s="28">
        <f>Q22*(1+'Facteurs d''émissions'!AW23)</f>
        <v>0</v>
      </c>
      <c r="T22" s="26">
        <f>'Bilan GES ISTerre'!AH24</f>
        <v>0</v>
      </c>
      <c r="U22" s="27">
        <f>T22*(1-'Facteurs d''émissions'!BF23)</f>
        <v>0</v>
      </c>
      <c r="V22" s="28">
        <f>T22*(1+'Facteurs d''émissions'!BF23)</f>
        <v>0</v>
      </c>
      <c r="W22" s="26">
        <f>'Bilan GES ISTerre'!AM24</f>
        <v>0</v>
      </c>
      <c r="X22" s="27">
        <f>W22*(1-'Facteurs d''émissions'!BO23)</f>
        <v>0</v>
      </c>
      <c r="Y22" s="28">
        <f>W22*(1+'Facteurs d''émissions'!BO23)</f>
        <v>0</v>
      </c>
      <c r="Z22" s="26">
        <f>'Bilan GES ISTerre'!AR24</f>
        <v>0</v>
      </c>
      <c r="AA22" s="27">
        <f>Z22*(1-'Facteurs d''émissions'!BX23)</f>
        <v>0</v>
      </c>
      <c r="AB22" s="28">
        <f>Z22*(1+'Facteurs d''émissions'!BX23)</f>
        <v>0</v>
      </c>
      <c r="AC22" s="26">
        <f>'Bilan GES ISTerre'!AW24</f>
        <v>0</v>
      </c>
      <c r="AD22" s="27">
        <f>AC22*(1-'Facteurs d''émissions'!CG23)</f>
        <v>0</v>
      </c>
      <c r="AE22" s="28">
        <f>AC22*(1+'Facteurs d''émissions'!CG23)</f>
        <v>0</v>
      </c>
      <c r="AF22" s="26">
        <f>'Bilan GES ISTerre'!BB24</f>
        <v>0</v>
      </c>
      <c r="AG22" s="27">
        <f>AF22*(1-'Facteurs d''émissions'!CP23)</f>
        <v>0</v>
      </c>
      <c r="AH22" s="28">
        <f>AF22*(1+'Facteurs d''émissions'!CP23)</f>
        <v>0</v>
      </c>
    </row>
    <row r="23" spans="1:34" ht="19.649999999999999" customHeight="1">
      <c r="A23" s="571"/>
      <c r="B23" s="745">
        <v>22</v>
      </c>
      <c r="C23" s="747" t="s">
        <v>75</v>
      </c>
      <c r="D23" s="351" t="s">
        <v>76</v>
      </c>
      <c r="E23" s="26">
        <f>'Bilan GES ISTerre'!I26</f>
        <v>1.6849967174857147E-2</v>
      </c>
      <c r="F23" s="27">
        <f>E23*(1-'Facteurs d''émissions'!M24)</f>
        <v>1.5164970457371432E-2</v>
      </c>
      <c r="G23" s="28">
        <f>E23*(1+'Facteurs d''émissions'!M24)</f>
        <v>1.8534963892342864E-2</v>
      </c>
      <c r="H23" s="26">
        <f>'Bilan GES ISTerre'!N26</f>
        <v>1.688220130457142E-2</v>
      </c>
      <c r="I23" s="27">
        <f>H23*(1-'Facteurs d''émissions'!V24)</f>
        <v>1.5193981174114277E-2</v>
      </c>
      <c r="J23" s="28">
        <f>H23*(1+'Facteurs d''émissions'!V24)</f>
        <v>1.8570421435028562E-2</v>
      </c>
      <c r="K23" s="26">
        <f>'Bilan GES ISTerre'!S26</f>
        <v>1.7436967642285705E-2</v>
      </c>
      <c r="L23" s="27">
        <f>K23*(1-'Facteurs d''émissions'!AE24)</f>
        <v>1.5693270878057136E-2</v>
      </c>
      <c r="M23" s="28">
        <f>K23*(1+'Facteurs d''émissions'!AE24)</f>
        <v>1.9180664406514277E-2</v>
      </c>
      <c r="N23" s="26">
        <f>'Bilan GES ISTerre'!X26</f>
        <v>0</v>
      </c>
      <c r="O23" s="27">
        <f>N23*(1-'Facteurs d''émissions'!AN24)</f>
        <v>0</v>
      </c>
      <c r="P23" s="28">
        <f>N23*(1+'Facteurs d''émissions'!AN24)</f>
        <v>0</v>
      </c>
      <c r="Q23" s="26">
        <f>'Bilan GES ISTerre'!AC26</f>
        <v>0</v>
      </c>
      <c r="R23" s="27">
        <f>Q23*(1-'Facteurs d''émissions'!AW24)</f>
        <v>0</v>
      </c>
      <c r="S23" s="28">
        <f>Q23*(1+'Facteurs d''émissions'!AW24)</f>
        <v>0</v>
      </c>
      <c r="T23" s="26">
        <f>'Bilan GES ISTerre'!AH26</f>
        <v>0</v>
      </c>
      <c r="U23" s="27">
        <f>T23*(1-'Facteurs d''émissions'!BF24)</f>
        <v>0</v>
      </c>
      <c r="V23" s="28">
        <f>T23*(1+'Facteurs d''émissions'!BF24)</f>
        <v>0</v>
      </c>
      <c r="W23" s="26">
        <f>'Bilan GES ISTerre'!AM26</f>
        <v>0</v>
      </c>
      <c r="X23" s="27">
        <f>W23*(1-'Facteurs d''émissions'!BO24)</f>
        <v>0</v>
      </c>
      <c r="Y23" s="28">
        <f>W23*(1+'Facteurs d''émissions'!BO24)</f>
        <v>0</v>
      </c>
      <c r="Z23" s="26">
        <f>'Bilan GES ISTerre'!AR26</f>
        <v>0</v>
      </c>
      <c r="AA23" s="27">
        <f>Z23*(1-'Facteurs d''émissions'!BX24)</f>
        <v>0</v>
      </c>
      <c r="AB23" s="28">
        <f>Z23*(1+'Facteurs d''émissions'!BX24)</f>
        <v>0</v>
      </c>
      <c r="AC23" s="26">
        <f>'Bilan GES ISTerre'!AW26</f>
        <v>0</v>
      </c>
      <c r="AD23" s="27">
        <f>AC23*(1-'Facteurs d''émissions'!CG24)</f>
        <v>0</v>
      </c>
      <c r="AE23" s="28">
        <f>AC23*(1+'Facteurs d''émissions'!CG24)</f>
        <v>0</v>
      </c>
      <c r="AF23" s="26">
        <f>'Bilan GES ISTerre'!BB26</f>
        <v>0</v>
      </c>
      <c r="AG23" s="27">
        <f>AF23*(1-'Facteurs d''émissions'!CP24)</f>
        <v>0</v>
      </c>
      <c r="AH23" s="28">
        <f>AF23*(1+'Facteurs d''émissions'!CP24)</f>
        <v>0</v>
      </c>
    </row>
    <row r="24" spans="1:34" ht="30.6" customHeight="1">
      <c r="A24" s="571"/>
      <c r="B24" s="746"/>
      <c r="C24" s="584"/>
      <c r="D24" s="351" t="s">
        <v>77</v>
      </c>
      <c r="E24" s="26">
        <f>'Bilan GES ISTerre'!I27</f>
        <v>0</v>
      </c>
      <c r="F24" s="27">
        <f>E24*(1-'Facteurs d''émissions'!M25)</f>
        <v>0</v>
      </c>
      <c r="G24" s="28">
        <f>E24*(1+'Facteurs d''émissions'!M25)</f>
        <v>0</v>
      </c>
      <c r="H24" s="26">
        <f>'Bilan GES ISTerre'!N27</f>
        <v>0</v>
      </c>
      <c r="I24" s="27">
        <f>H24*(1-'Facteurs d''émissions'!V25)</f>
        <v>0</v>
      </c>
      <c r="J24" s="28">
        <f>H24*(1+'Facteurs d''émissions'!V25)</f>
        <v>0</v>
      </c>
      <c r="K24" s="26">
        <f>'Bilan GES ISTerre'!S27</f>
        <v>0</v>
      </c>
      <c r="L24" s="27">
        <f>K24*(1-'Facteurs d''émissions'!AE25)</f>
        <v>0</v>
      </c>
      <c r="M24" s="28">
        <f>K24*(1+'Facteurs d''émissions'!AE25)</f>
        <v>0</v>
      </c>
      <c r="N24" s="26">
        <f>'Bilan GES ISTerre'!X27</f>
        <v>0</v>
      </c>
      <c r="O24" s="27">
        <f>N24*(1-'Facteurs d''émissions'!AN25)</f>
        <v>0</v>
      </c>
      <c r="P24" s="28">
        <f>N24*(1+'Facteurs d''émissions'!AN25)</f>
        <v>0</v>
      </c>
      <c r="Q24" s="26">
        <f>'Bilan GES ISTerre'!AC27</f>
        <v>0</v>
      </c>
      <c r="R24" s="27">
        <f>Q24*(1-'Facteurs d''émissions'!AW25)</f>
        <v>0</v>
      </c>
      <c r="S24" s="28">
        <f>Q24*(1+'Facteurs d''émissions'!AW25)</f>
        <v>0</v>
      </c>
      <c r="T24" s="26">
        <f>'Bilan GES ISTerre'!AH27</f>
        <v>0</v>
      </c>
      <c r="U24" s="27">
        <f>T24*(1-'Facteurs d''émissions'!BF25)</f>
        <v>0</v>
      </c>
      <c r="V24" s="28">
        <f>T24*(1+'Facteurs d''émissions'!BF25)</f>
        <v>0</v>
      </c>
      <c r="W24" s="26">
        <f>'Bilan GES ISTerre'!AM27</f>
        <v>0</v>
      </c>
      <c r="X24" s="27">
        <f>W24*(1-'Facteurs d''émissions'!BO25)</f>
        <v>0</v>
      </c>
      <c r="Y24" s="28">
        <f>W24*(1+'Facteurs d''émissions'!BO25)</f>
        <v>0</v>
      </c>
      <c r="Z24" s="26">
        <f>'Bilan GES ISTerre'!AR27</f>
        <v>0</v>
      </c>
      <c r="AA24" s="27">
        <f>Z24*(1-'Facteurs d''émissions'!BF25)</f>
        <v>0</v>
      </c>
      <c r="AB24" s="28">
        <f>Z24*(1+'Facteurs d''émissions'!BF25)</f>
        <v>0</v>
      </c>
      <c r="AC24" s="26">
        <f>'Bilan GES ISTerre'!AW27</f>
        <v>0</v>
      </c>
      <c r="AD24" s="27">
        <f>AC24*(1-'Facteurs d''émissions'!CG25)</f>
        <v>0</v>
      </c>
      <c r="AE24" s="28">
        <f>AC24*(1+'Facteurs d''émissions'!CG25)</f>
        <v>0</v>
      </c>
      <c r="AF24" s="26">
        <f>'Bilan GES ISTerre'!BB27</f>
        <v>0</v>
      </c>
      <c r="AG24" s="27">
        <f>AF24*(1-'Facteurs d''émissions'!CP25)</f>
        <v>0</v>
      </c>
      <c r="AH24" s="28">
        <f>AF24*(1+'Facteurs d''émissions'!CP25)</f>
        <v>0</v>
      </c>
    </row>
    <row r="25" spans="1:34" ht="30.6" customHeight="1">
      <c r="A25" s="571"/>
      <c r="B25" s="746"/>
      <c r="C25" s="584"/>
      <c r="D25" s="351" t="s">
        <v>78</v>
      </c>
      <c r="E25" s="26">
        <f>'Bilan GES ISTerre'!I28</f>
        <v>0.11045790476190467</v>
      </c>
      <c r="F25" s="27">
        <f>E25*(1-'Facteurs d''émissions'!M26)</f>
        <v>4.4183161904761875E-2</v>
      </c>
      <c r="G25" s="28">
        <f>E25*(1+'Facteurs d''émissions'!M26)</f>
        <v>0.1767326476190475</v>
      </c>
      <c r="H25" s="26">
        <f>'Bilan GES ISTerre'!N28</f>
        <v>0.11364419047619045</v>
      </c>
      <c r="I25" s="27">
        <f>H25*(1-'Facteurs d''émissions'!V26)</f>
        <v>4.5457676190476186E-2</v>
      </c>
      <c r="J25" s="28">
        <f>H25*(1+'Facteurs d''émissions'!V26)</f>
        <v>0.18183070476190474</v>
      </c>
      <c r="K25" s="26">
        <f>'Bilan GES ISTerre'!S28</f>
        <v>0.11470628571428565</v>
      </c>
      <c r="L25" s="27">
        <f>K25*(1-'Facteurs d''émissions'!AE26)</f>
        <v>4.5882514285714264E-2</v>
      </c>
      <c r="M25" s="28">
        <f>K25*(1+'Facteurs d''émissions'!AE26)</f>
        <v>0.18353005714285706</v>
      </c>
      <c r="N25" s="26">
        <f>'Bilan GES ISTerre'!X28</f>
        <v>0</v>
      </c>
      <c r="O25" s="27">
        <f>N25*(1-'Facteurs d''émissions'!AN26)</f>
        <v>0</v>
      </c>
      <c r="P25" s="28">
        <f>N25*(1+'Facteurs d''émissions'!AN26)</f>
        <v>0</v>
      </c>
      <c r="Q25" s="26">
        <f>'Bilan GES ISTerre'!AC28</f>
        <v>0</v>
      </c>
      <c r="R25" s="27">
        <f>Q25*(1-'Facteurs d''émissions'!AW26)</f>
        <v>0</v>
      </c>
      <c r="S25" s="28">
        <f>Q25*(1+'Facteurs d''émissions'!AW26)</f>
        <v>0</v>
      </c>
      <c r="T25" s="26">
        <f>'Bilan GES ISTerre'!AH28</f>
        <v>0</v>
      </c>
      <c r="U25" s="27">
        <f>T25*(1-'Facteurs d''émissions'!BF26)</f>
        <v>0</v>
      </c>
      <c r="V25" s="28">
        <f>T25*(1+'Facteurs d''émissions'!BF26)</f>
        <v>0</v>
      </c>
      <c r="W25" s="26">
        <f>'Bilan GES ISTerre'!AM28</f>
        <v>0</v>
      </c>
      <c r="X25" s="27">
        <f>W25*(1-'Facteurs d''émissions'!BO26)</f>
        <v>0</v>
      </c>
      <c r="Y25" s="28">
        <f>W25*(1+'Facteurs d''émissions'!BO26)</f>
        <v>0</v>
      </c>
      <c r="Z25" s="26">
        <f>'Bilan GES ISTerre'!AR28</f>
        <v>0</v>
      </c>
      <c r="AA25" s="27">
        <f>Z25*(1-'Facteurs d''émissions'!BF26)</f>
        <v>0</v>
      </c>
      <c r="AB25" s="28">
        <f>Z25*(1+'Facteurs d''émissions'!BF26)</f>
        <v>0</v>
      </c>
      <c r="AC25" s="26">
        <f>'Bilan GES ISTerre'!AW28</f>
        <v>0</v>
      </c>
      <c r="AD25" s="27">
        <f>AC25*(1-'Facteurs d''émissions'!CG26)</f>
        <v>0</v>
      </c>
      <c r="AE25" s="28">
        <f>AC25*(1+'Facteurs d''émissions'!CG26)</f>
        <v>0</v>
      </c>
      <c r="AF25" s="26">
        <f>'Bilan GES ISTerre'!BB28</f>
        <v>0</v>
      </c>
      <c r="AG25" s="27">
        <f>AF25*(1-'Facteurs d''émissions'!CP26)</f>
        <v>0</v>
      </c>
      <c r="AH25" s="28">
        <f>AF25*(1+'Facteurs d''émissions'!CP26)</f>
        <v>0</v>
      </c>
    </row>
    <row r="26" spans="1:34" ht="19.649999999999999" customHeight="1">
      <c r="A26" s="571"/>
      <c r="B26" s="746"/>
      <c r="C26" s="584"/>
      <c r="D26" s="351" t="s">
        <v>79</v>
      </c>
      <c r="E26" s="26">
        <f>'Bilan GES ISTerre'!I29</f>
        <v>38.357328144444431</v>
      </c>
      <c r="F26" s="27">
        <f>E26*(1-'Facteurs d''émissions'!M27)</f>
        <v>30.685862515555545</v>
      </c>
      <c r="G26" s="28">
        <f>E26*(1+'Facteurs d''émissions'!M27)</f>
        <v>46.028793773333312</v>
      </c>
      <c r="H26" s="26">
        <f>'Bilan GES ISTerre'!N29</f>
        <v>38.917758511111145</v>
      </c>
      <c r="I26" s="27">
        <f>H26*(1-'Facteurs d''émissions'!V27)</f>
        <v>31.134206808888919</v>
      </c>
      <c r="J26" s="28">
        <f>H26*(1+'Facteurs d''émissions'!V27)</f>
        <v>46.701310213333372</v>
      </c>
      <c r="K26" s="26">
        <f>'Bilan GES ISTerre'!S29</f>
        <v>37.606050749999966</v>
      </c>
      <c r="L26" s="27">
        <f>K26*(1-'Facteurs d''émissions'!AE27)</f>
        <v>30.084840599999975</v>
      </c>
      <c r="M26" s="28">
        <f>K26*(1+'Facteurs d''émissions'!AE27)</f>
        <v>45.12726089999996</v>
      </c>
      <c r="N26" s="26">
        <f>'Bilan GES ISTerre'!X29</f>
        <v>0</v>
      </c>
      <c r="O26" s="27">
        <f>N26*(1-'Facteurs d''émissions'!AN27)</f>
        <v>0</v>
      </c>
      <c r="P26" s="28">
        <f>N26*(1+'Facteurs d''émissions'!AN27)</f>
        <v>0</v>
      </c>
      <c r="Q26" s="26">
        <f>'Bilan GES ISTerre'!AC29</f>
        <v>0</v>
      </c>
      <c r="R26" s="27">
        <f>Q26*(1-'Facteurs d''émissions'!AW27)</f>
        <v>0</v>
      </c>
      <c r="S26" s="28">
        <f>Q26*(1+'Facteurs d''émissions'!AW27)</f>
        <v>0</v>
      </c>
      <c r="T26" s="26">
        <f>'Bilan GES ISTerre'!AH29</f>
        <v>0</v>
      </c>
      <c r="U26" s="27">
        <f>T26*(1-'Facteurs d''émissions'!BF27)</f>
        <v>0</v>
      </c>
      <c r="V26" s="28">
        <f>T26*(1+'Facteurs d''émissions'!BF27)</f>
        <v>0</v>
      </c>
      <c r="W26" s="26">
        <f>'Bilan GES ISTerre'!AM29</f>
        <v>0</v>
      </c>
      <c r="X26" s="27">
        <f>W26*(1-'Facteurs d''émissions'!BO27)</f>
        <v>0</v>
      </c>
      <c r="Y26" s="28">
        <f>W26*(1+'Facteurs d''émissions'!BO27)</f>
        <v>0</v>
      </c>
      <c r="Z26" s="26">
        <f>'Bilan GES ISTerre'!AR29</f>
        <v>0</v>
      </c>
      <c r="AA26" s="27">
        <f>Z26*(1-'Facteurs d''émissions'!BF27)</f>
        <v>0</v>
      </c>
      <c r="AB26" s="28">
        <f>Z26*(1+'Facteurs d''émissions'!BF27)</f>
        <v>0</v>
      </c>
      <c r="AC26" s="26">
        <f>'Bilan GES ISTerre'!AW29</f>
        <v>0</v>
      </c>
      <c r="AD26" s="27">
        <f>AC26*(1-'Facteurs d''émissions'!CG27)</f>
        <v>0</v>
      </c>
      <c r="AE26" s="28">
        <f>AC26*(1+'Facteurs d''émissions'!CG27)</f>
        <v>0</v>
      </c>
      <c r="AF26" s="26">
        <f>'Bilan GES ISTerre'!BB29</f>
        <v>0</v>
      </c>
      <c r="AG26" s="27">
        <f>AF26*(1-'Facteurs d''émissions'!CP27)</f>
        <v>0</v>
      </c>
      <c r="AH26" s="28">
        <f>AF26*(1+'Facteurs d''émissions'!CP27)</f>
        <v>0</v>
      </c>
    </row>
    <row r="27" spans="1:34" ht="19.649999999999999" customHeight="1">
      <c r="A27" s="571"/>
      <c r="B27" s="746"/>
      <c r="C27" s="584"/>
      <c r="D27" s="351" t="s">
        <v>80</v>
      </c>
      <c r="E27" s="26">
        <f>'Bilan GES ISTerre'!I30</f>
        <v>120.06064573412699</v>
      </c>
      <c r="F27" s="27">
        <f>E27*(1-'Facteurs d''émissions'!M28)</f>
        <v>96.048516587301606</v>
      </c>
      <c r="G27" s="28">
        <f>E27*(1+'Facteurs d''émissions'!M28)</f>
        <v>144.07277488095238</v>
      </c>
      <c r="H27" s="26">
        <f>'Bilan GES ISTerre'!N30</f>
        <v>118.76998281746043</v>
      </c>
      <c r="I27" s="27">
        <f>H27*(1-'Facteurs d''émissions'!V28)</f>
        <v>95.01598625396835</v>
      </c>
      <c r="J27" s="28">
        <f>H27*(1+'Facteurs d''émissions'!V28)</f>
        <v>142.52397938095251</v>
      </c>
      <c r="K27" s="26">
        <f>'Bilan GES ISTerre'!S30</f>
        <v>114.25123330357157</v>
      </c>
      <c r="L27" s="27">
        <f>K27*(1-'Facteurs d''émissions'!AE28)</f>
        <v>91.400986642857262</v>
      </c>
      <c r="M27" s="28">
        <f>K27*(1+'Facteurs d''émissions'!AE28)</f>
        <v>137.10147996428589</v>
      </c>
      <c r="N27" s="26">
        <f>'Bilan GES ISTerre'!X30</f>
        <v>0</v>
      </c>
      <c r="O27" s="27">
        <f>N27*(1-'Facteurs d''émissions'!AN28)</f>
        <v>0</v>
      </c>
      <c r="P27" s="28">
        <f>N27*(1+'Facteurs d''émissions'!AN28)</f>
        <v>0</v>
      </c>
      <c r="Q27" s="26">
        <f>'Bilan GES ISTerre'!AC30</f>
        <v>0</v>
      </c>
      <c r="R27" s="27">
        <f>Q27*(1-'Facteurs d''émissions'!AW28)</f>
        <v>0</v>
      </c>
      <c r="S27" s="28">
        <f>Q27*(1+'Facteurs d''émissions'!AW28)</f>
        <v>0</v>
      </c>
      <c r="T27" s="26">
        <f>'Bilan GES ISTerre'!AH30</f>
        <v>0</v>
      </c>
      <c r="U27" s="27">
        <f>T27*(1-'Facteurs d''émissions'!BF28)</f>
        <v>0</v>
      </c>
      <c r="V27" s="28">
        <f>T27*(1+'Facteurs d''émissions'!BF28)</f>
        <v>0</v>
      </c>
      <c r="W27" s="26">
        <f>'Bilan GES ISTerre'!AM30</f>
        <v>0</v>
      </c>
      <c r="X27" s="27">
        <f>W27*(1-'Facteurs d''émissions'!BO28)</f>
        <v>0</v>
      </c>
      <c r="Y27" s="28">
        <f>W27*(1+'Facteurs d''émissions'!BO28)</f>
        <v>0</v>
      </c>
      <c r="Z27" s="26">
        <f>'Bilan GES ISTerre'!AR30</f>
        <v>0</v>
      </c>
      <c r="AA27" s="27">
        <f>Z27*(1-'Facteurs d''émissions'!BF28)</f>
        <v>0</v>
      </c>
      <c r="AB27" s="28">
        <f>Z27*(1+'Facteurs d''émissions'!BF28)</f>
        <v>0</v>
      </c>
      <c r="AC27" s="26">
        <f>'Bilan GES ISTerre'!AW30</f>
        <v>0</v>
      </c>
      <c r="AD27" s="27">
        <f>AC27*(1-'Facteurs d''émissions'!CG28)</f>
        <v>0</v>
      </c>
      <c r="AE27" s="28">
        <f>AC27*(1+'Facteurs d''émissions'!CG28)</f>
        <v>0</v>
      </c>
      <c r="AF27" s="26">
        <f>'Bilan GES ISTerre'!BB30</f>
        <v>0</v>
      </c>
      <c r="AG27" s="27">
        <f>AF27*(1-'Facteurs d''émissions'!CP28)</f>
        <v>0</v>
      </c>
      <c r="AH27" s="28">
        <f>AF27*(1+'Facteurs d''émissions'!CP28)</f>
        <v>0</v>
      </c>
    </row>
    <row r="28" spans="1:34" ht="19.649999999999999" customHeight="1">
      <c r="A28" s="571"/>
      <c r="B28" s="746"/>
      <c r="C28" s="584"/>
      <c r="D28" s="351" t="s">
        <v>81</v>
      </c>
      <c r="E28" s="26">
        <f>'Bilan GES ISTerre'!I31</f>
        <v>0</v>
      </c>
      <c r="F28" s="27">
        <f>E28*(1-'Facteurs d''émissions'!M29)</f>
        <v>0</v>
      </c>
      <c r="G28" s="28">
        <f>E28*(1+'Facteurs d''émissions'!M29)</f>
        <v>0</v>
      </c>
      <c r="H28" s="26">
        <f>'Bilan GES ISTerre'!N31</f>
        <v>0</v>
      </c>
      <c r="I28" s="27">
        <f>H28*(1-'Facteurs d''émissions'!V29)</f>
        <v>0</v>
      </c>
      <c r="J28" s="28">
        <f>H28*(1+'Facteurs d''émissions'!V29)</f>
        <v>0</v>
      </c>
      <c r="K28" s="26">
        <f>'Bilan GES ISTerre'!S31</f>
        <v>0</v>
      </c>
      <c r="L28" s="27">
        <f>K28*(1-'Facteurs d''émissions'!AE29)</f>
        <v>0</v>
      </c>
      <c r="M28" s="28">
        <f>K28*(1+'Facteurs d''émissions'!AE29)</f>
        <v>0</v>
      </c>
      <c r="N28" s="26">
        <f>'Bilan GES ISTerre'!X31</f>
        <v>0</v>
      </c>
      <c r="O28" s="27">
        <f>N28*(1-'Facteurs d''émissions'!AN29)</f>
        <v>0</v>
      </c>
      <c r="P28" s="28">
        <f>N28*(1+'Facteurs d''émissions'!AN29)</f>
        <v>0</v>
      </c>
      <c r="Q28" s="26">
        <f>'Bilan GES ISTerre'!AC31</f>
        <v>0</v>
      </c>
      <c r="R28" s="27">
        <f>Q28*(1-'Facteurs d''émissions'!AW29)</f>
        <v>0</v>
      </c>
      <c r="S28" s="28">
        <f>Q28*(1+'Facteurs d''émissions'!AW29)</f>
        <v>0</v>
      </c>
      <c r="T28" s="26">
        <f>'Bilan GES ISTerre'!AH31</f>
        <v>0</v>
      </c>
      <c r="U28" s="27">
        <f>T28*(1-'Facteurs d''émissions'!BF29)</f>
        <v>0</v>
      </c>
      <c r="V28" s="28">
        <f>T28*(1+'Facteurs d''émissions'!BF29)</f>
        <v>0</v>
      </c>
      <c r="W28" s="26">
        <f>'Bilan GES ISTerre'!AM31</f>
        <v>0</v>
      </c>
      <c r="X28" s="27">
        <f>W28*(1-'Facteurs d''émissions'!BO29)</f>
        <v>0</v>
      </c>
      <c r="Y28" s="28">
        <f>W28*(1+'Facteurs d''émissions'!BO29)</f>
        <v>0</v>
      </c>
      <c r="Z28" s="26">
        <f>'Bilan GES ISTerre'!AR31</f>
        <v>0</v>
      </c>
      <c r="AA28" s="27">
        <f>Z28*(1-'Facteurs d''émissions'!BF29)</f>
        <v>0</v>
      </c>
      <c r="AB28" s="28">
        <f>Z28*(1+'Facteurs d''émissions'!BF29)</f>
        <v>0</v>
      </c>
      <c r="AC28" s="26">
        <f>'Bilan GES ISTerre'!AW31</f>
        <v>0</v>
      </c>
      <c r="AD28" s="27">
        <f>AC28*(1-'Facteurs d''émissions'!CG29)</f>
        <v>0</v>
      </c>
      <c r="AE28" s="28">
        <f>AC28*(1+'Facteurs d''émissions'!CG29)</f>
        <v>0</v>
      </c>
      <c r="AF28" s="26">
        <f>'Bilan GES ISTerre'!BB31</f>
        <v>0</v>
      </c>
      <c r="AG28" s="27">
        <f>AF28*(1-'Facteurs d''émissions'!CP29)</f>
        <v>0</v>
      </c>
      <c r="AH28" s="28">
        <f>AF28*(1+'Facteurs d''émissions'!CP29)</f>
        <v>0</v>
      </c>
    </row>
    <row r="29" spans="1:34" ht="19.649999999999999" customHeight="1">
      <c r="A29" s="571"/>
      <c r="B29" s="746"/>
      <c r="C29" s="584"/>
      <c r="D29" s="351" t="s">
        <v>82</v>
      </c>
      <c r="E29" s="26">
        <f>'Bilan GES ISTerre'!I32</f>
        <v>1.3942603174603136</v>
      </c>
      <c r="F29" s="27">
        <f>E29*(1-'Facteurs d''émissions'!M30)</f>
        <v>0.41827809523809417</v>
      </c>
      <c r="G29" s="28">
        <f>E29*(1+'Facteurs d''émissions'!M30)</f>
        <v>2.3702425396825331</v>
      </c>
      <c r="H29" s="26">
        <f>'Bilan GES ISTerre'!N32</f>
        <v>1.4344793650793621</v>
      </c>
      <c r="I29" s="27">
        <f>H29*(1-'Facteurs d''émissions'!V30)</f>
        <v>0.43034380952380868</v>
      </c>
      <c r="J29" s="28">
        <f>H29*(1+'Facteurs d''émissions'!V30)</f>
        <v>2.4386149206349157</v>
      </c>
      <c r="K29" s="26">
        <f>'Bilan GES ISTerre'!S32</f>
        <v>1.4478857142857187</v>
      </c>
      <c r="L29" s="27">
        <f>K29*(1-'Facteurs d''émissions'!AE30)</f>
        <v>0.43436571428571569</v>
      </c>
      <c r="M29" s="28">
        <f>K29*(1+'Facteurs d''émissions'!AE30)</f>
        <v>2.4614057142857217</v>
      </c>
      <c r="N29" s="26">
        <f>'Bilan GES ISTerre'!X32</f>
        <v>0</v>
      </c>
      <c r="O29" s="27">
        <f>N29*(1-'Facteurs d''émissions'!AN30)</f>
        <v>0</v>
      </c>
      <c r="P29" s="28">
        <f>N29*(1+'Facteurs d''émissions'!AN30)</f>
        <v>0</v>
      </c>
      <c r="Q29" s="26">
        <f>'Bilan GES ISTerre'!AC32</f>
        <v>0</v>
      </c>
      <c r="R29" s="27">
        <f>Q29*(1-'Facteurs d''émissions'!AW30)</f>
        <v>0</v>
      </c>
      <c r="S29" s="28">
        <f>Q29*(1+'Facteurs d''émissions'!AW30)</f>
        <v>0</v>
      </c>
      <c r="T29" s="26">
        <f>'Bilan GES ISTerre'!AH32</f>
        <v>0</v>
      </c>
      <c r="U29" s="27">
        <f>T29*(1-'Facteurs d''émissions'!BF30)</f>
        <v>0</v>
      </c>
      <c r="V29" s="28">
        <f>T29*(1+'Facteurs d''émissions'!BF30)</f>
        <v>0</v>
      </c>
      <c r="W29" s="26">
        <f>'Bilan GES ISTerre'!AM32</f>
        <v>0</v>
      </c>
      <c r="X29" s="27">
        <f>W29*(1-'Facteurs d''émissions'!BO30)</f>
        <v>0</v>
      </c>
      <c r="Y29" s="28">
        <f>W29*(1+'Facteurs d''émissions'!BO30)</f>
        <v>0</v>
      </c>
      <c r="Z29" s="26">
        <f>'Bilan GES ISTerre'!AR32</f>
        <v>0</v>
      </c>
      <c r="AA29" s="27">
        <f>Z29*(1-'Facteurs d''émissions'!BF30)</f>
        <v>0</v>
      </c>
      <c r="AB29" s="28">
        <f>Z29*(1+'Facteurs d''émissions'!BF30)</f>
        <v>0</v>
      </c>
      <c r="AC29" s="26">
        <f>'Bilan GES ISTerre'!AW32</f>
        <v>0</v>
      </c>
      <c r="AD29" s="27">
        <f>AC29*(1-'Facteurs d''émissions'!CG30)</f>
        <v>0</v>
      </c>
      <c r="AE29" s="28">
        <f>AC29*(1+'Facteurs d''émissions'!CG30)</f>
        <v>0</v>
      </c>
      <c r="AF29" s="26">
        <f>'Bilan GES ISTerre'!BB32</f>
        <v>0</v>
      </c>
      <c r="AG29" s="27">
        <f>AF29*(1-'Facteurs d''émissions'!CP30)</f>
        <v>0</v>
      </c>
      <c r="AH29" s="28">
        <f>AF29*(1+'Facteurs d''émissions'!CP30)</f>
        <v>0</v>
      </c>
    </row>
    <row r="30" spans="1:34" ht="19.649999999999999" customHeight="1">
      <c r="A30" s="571"/>
      <c r="B30" s="746"/>
      <c r="C30" s="584"/>
      <c r="D30" s="351" t="s">
        <v>83</v>
      </c>
      <c r="E30" s="26">
        <f>'Bilan GES ISTerre'!I33</f>
        <v>0</v>
      </c>
      <c r="F30" s="27">
        <f>E30*(1-'Facteurs d''émissions'!M31)</f>
        <v>0</v>
      </c>
      <c r="G30" s="28">
        <f>E30*(1+'Facteurs d''émissions'!M31)</f>
        <v>0</v>
      </c>
      <c r="H30" s="26">
        <f>'Bilan GES ISTerre'!N33</f>
        <v>0</v>
      </c>
      <c r="I30" s="27">
        <f>H30*(1-'Facteurs d''émissions'!V31)</f>
        <v>0</v>
      </c>
      <c r="J30" s="28">
        <f>H30*(1+'Facteurs d''émissions'!V31)</f>
        <v>0</v>
      </c>
      <c r="K30" s="26">
        <f>'Bilan GES ISTerre'!S33</f>
        <v>0</v>
      </c>
      <c r="L30" s="27">
        <f>K30*(1-'Facteurs d''émissions'!AE31)</f>
        <v>0</v>
      </c>
      <c r="M30" s="28">
        <f>K30*(1+'Facteurs d''émissions'!AE31)</f>
        <v>0</v>
      </c>
      <c r="N30" s="26">
        <f>'Bilan GES ISTerre'!X33</f>
        <v>0</v>
      </c>
      <c r="O30" s="27">
        <f>N30*(1-'Facteurs d''émissions'!AN31)</f>
        <v>0</v>
      </c>
      <c r="P30" s="28">
        <f>N30*(1+'Facteurs d''émissions'!AN31)</f>
        <v>0</v>
      </c>
      <c r="Q30" s="26">
        <f>'Bilan GES ISTerre'!AC33</f>
        <v>0</v>
      </c>
      <c r="R30" s="27">
        <f>Q30*(1-'Facteurs d''émissions'!AW31)</f>
        <v>0</v>
      </c>
      <c r="S30" s="28">
        <f>Q30*(1+'Facteurs d''émissions'!AW31)</f>
        <v>0</v>
      </c>
      <c r="T30" s="26">
        <f>'Bilan GES ISTerre'!AH33</f>
        <v>0</v>
      </c>
      <c r="U30" s="27">
        <f>T30*(1-'Facteurs d''émissions'!BF31)</f>
        <v>0</v>
      </c>
      <c r="V30" s="28">
        <f>T30*(1+'Facteurs d''émissions'!BF31)</f>
        <v>0</v>
      </c>
      <c r="W30" s="26">
        <f>'Bilan GES ISTerre'!AM33</f>
        <v>0</v>
      </c>
      <c r="X30" s="27">
        <f>W30*(1-'Facteurs d''émissions'!BO31)</f>
        <v>0</v>
      </c>
      <c r="Y30" s="28">
        <f>W30*(1+'Facteurs d''émissions'!BO31)</f>
        <v>0</v>
      </c>
      <c r="Z30" s="26">
        <f>'Bilan GES ISTerre'!AR33</f>
        <v>0</v>
      </c>
      <c r="AA30" s="27">
        <f>Z30*(1-'Facteurs d''émissions'!BF31)</f>
        <v>0</v>
      </c>
      <c r="AB30" s="28">
        <f>Z30*(1+'Facteurs d''émissions'!BF31)</f>
        <v>0</v>
      </c>
      <c r="AC30" s="26">
        <f>'Bilan GES ISTerre'!AW33</f>
        <v>0</v>
      </c>
      <c r="AD30" s="27">
        <f>AC30*(1-'Facteurs d''émissions'!CG31)</f>
        <v>0</v>
      </c>
      <c r="AE30" s="28">
        <f>AC30*(1+'Facteurs d''émissions'!CG31)</f>
        <v>0</v>
      </c>
      <c r="AF30" s="26">
        <f>'Bilan GES ISTerre'!BB33</f>
        <v>0</v>
      </c>
      <c r="AG30" s="27">
        <f>AF30*(1-'Facteurs d''émissions'!CP31)</f>
        <v>0</v>
      </c>
      <c r="AH30" s="28">
        <f>AF30*(1+'Facteurs d''émissions'!CP31)</f>
        <v>0</v>
      </c>
    </row>
    <row r="31" spans="1:34" ht="19.649999999999999" customHeight="1">
      <c r="A31" s="571"/>
      <c r="B31" s="746"/>
      <c r="C31" s="584"/>
      <c r="D31" s="351" t="s">
        <v>73</v>
      </c>
      <c r="E31" s="26">
        <f>'Bilan GES ISTerre'!I34</f>
        <v>2.8142399999999976</v>
      </c>
      <c r="F31" s="27">
        <f>E31*(1-'Facteurs d''émissions'!M32)</f>
        <v>1.1256959999999991</v>
      </c>
      <c r="G31" s="28">
        <f>E31*(1+'Facteurs d''émissions'!M32)</f>
        <v>4.5027839999999966</v>
      </c>
      <c r="H31" s="26">
        <f>'Bilan GES ISTerre'!N34</f>
        <v>2.8954200000000045</v>
      </c>
      <c r="I31" s="27">
        <f>H31*(1-'Facteurs d''émissions'!V32)</f>
        <v>1.1581680000000019</v>
      </c>
      <c r="J31" s="28">
        <f>H31*(1+'Facteurs d''émissions'!V32)</f>
        <v>4.6326720000000075</v>
      </c>
      <c r="K31" s="26">
        <f>'Bilan GES ISTerre'!S34</f>
        <v>2.9224800000000064</v>
      </c>
      <c r="L31" s="27">
        <f>K31*(1-'Facteurs d''émissions'!AE32)</f>
        <v>1.1689920000000027</v>
      </c>
      <c r="M31" s="28">
        <f>K31*(1+'Facteurs d''émissions'!AE32)</f>
        <v>4.6759680000000108</v>
      </c>
      <c r="N31" s="26">
        <f>'Bilan GES ISTerre'!X34</f>
        <v>0</v>
      </c>
      <c r="O31" s="27">
        <f>N31*(1-'Facteurs d''émissions'!AN32)</f>
        <v>0</v>
      </c>
      <c r="P31" s="28">
        <f>N31*(1+'Facteurs d''émissions'!AN32)</f>
        <v>0</v>
      </c>
      <c r="Q31" s="26">
        <f>'Bilan GES ISTerre'!AC34</f>
        <v>0</v>
      </c>
      <c r="R31" s="27">
        <f>Q31*(1-'Facteurs d''émissions'!AW32)</f>
        <v>0</v>
      </c>
      <c r="S31" s="28">
        <f>Q31*(1+'Facteurs d''émissions'!AW32)</f>
        <v>0</v>
      </c>
      <c r="T31" s="26">
        <f>'Bilan GES ISTerre'!AH34</f>
        <v>0</v>
      </c>
      <c r="U31" s="27">
        <f>T31*(1-'Facteurs d''émissions'!BF32)</f>
        <v>0</v>
      </c>
      <c r="V31" s="28">
        <f>T31*(1+'Facteurs d''émissions'!BF32)</f>
        <v>0</v>
      </c>
      <c r="W31" s="26">
        <f>'Bilan GES ISTerre'!AM34</f>
        <v>0</v>
      </c>
      <c r="X31" s="27">
        <f>W31*(1-'Facteurs d''émissions'!BO32)</f>
        <v>0</v>
      </c>
      <c r="Y31" s="28">
        <f>W31*(1+'Facteurs d''émissions'!BO32)</f>
        <v>0</v>
      </c>
      <c r="Z31" s="26">
        <f>'Bilan GES ISTerre'!AR34</f>
        <v>0</v>
      </c>
      <c r="AA31" s="27">
        <f>Z31*(1-'Facteurs d''émissions'!BF32)</f>
        <v>0</v>
      </c>
      <c r="AB31" s="28">
        <f>Z31*(1+'Facteurs d''émissions'!BF32)</f>
        <v>0</v>
      </c>
      <c r="AC31" s="26">
        <f>'Bilan GES ISTerre'!AW34</f>
        <v>0</v>
      </c>
      <c r="AD31" s="27">
        <f>AC31*(1-'Facteurs d''émissions'!CG32)</f>
        <v>0</v>
      </c>
      <c r="AE31" s="28">
        <f>AC31*(1+'Facteurs d''émissions'!CG32)</f>
        <v>0</v>
      </c>
      <c r="AF31" s="26">
        <f>'Bilan GES ISTerre'!BB34</f>
        <v>0</v>
      </c>
      <c r="AG31" s="27">
        <f>AF31*(1-'Facteurs d''émissions'!CP32)</f>
        <v>0</v>
      </c>
      <c r="AH31" s="28">
        <f>AF31*(1+'Facteurs d''émissions'!CP32)</f>
        <v>0</v>
      </c>
    </row>
    <row r="32" spans="1:34" ht="19.649999999999999" customHeight="1">
      <c r="A32" s="571"/>
      <c r="B32" s="746"/>
      <c r="C32" s="584"/>
      <c r="D32" s="351" t="s">
        <v>84</v>
      </c>
      <c r="E32" s="26">
        <f>'Bilan GES ISTerre'!I35</f>
        <v>0.36610754761904712</v>
      </c>
      <c r="F32" s="27">
        <f>E32*(1-'Facteurs d''émissions'!M33)</f>
        <v>0.14644301904761886</v>
      </c>
      <c r="G32" s="28">
        <f>E32*(1+'Facteurs d''émissions'!M33)</f>
        <v>0.58577207619047544</v>
      </c>
      <c r="H32" s="26">
        <f>'Bilan GES ISTerre'!N35</f>
        <v>0.36939539619047596</v>
      </c>
      <c r="I32" s="27">
        <f>H32*(1-'Facteurs d''émissions'!V33)</f>
        <v>0.14775815847619039</v>
      </c>
      <c r="J32" s="28">
        <f>H32*(1+'Facteurs d''émissions'!V33)</f>
        <v>0.59103263390476157</v>
      </c>
      <c r="K32" s="26">
        <f>'Bilan GES ISTerre'!S35</f>
        <v>0.35128202571428513</v>
      </c>
      <c r="L32" s="27">
        <f>K32*(1-'Facteurs d''émissions'!AE33)</f>
        <v>0.14051281028571405</v>
      </c>
      <c r="M32" s="28">
        <f>K32*(1+'Facteurs d''émissions'!AE33)</f>
        <v>0.56205124114285621</v>
      </c>
      <c r="N32" s="26">
        <f>'Bilan GES ISTerre'!X35</f>
        <v>0</v>
      </c>
      <c r="O32" s="27">
        <f>N32*(1-'Facteurs d''émissions'!AN33)</f>
        <v>0</v>
      </c>
      <c r="P32" s="28">
        <f>N32*(1+'Facteurs d''émissions'!AN33)</f>
        <v>0</v>
      </c>
      <c r="Q32" s="26">
        <f>'Bilan GES ISTerre'!AC35</f>
        <v>0</v>
      </c>
      <c r="R32" s="27">
        <f>Q32*(1-'Facteurs d''émissions'!AW33)</f>
        <v>0</v>
      </c>
      <c r="S32" s="28">
        <f>Q32*(1+'Facteurs d''émissions'!AW33)</f>
        <v>0</v>
      </c>
      <c r="T32" s="26">
        <f>'Bilan GES ISTerre'!AH35</f>
        <v>0</v>
      </c>
      <c r="U32" s="27">
        <f>T32*(1-'Facteurs d''émissions'!BF33)</f>
        <v>0</v>
      </c>
      <c r="V32" s="28">
        <f>T32*(1+'Facteurs d''émissions'!BF33)</f>
        <v>0</v>
      </c>
      <c r="W32" s="26">
        <f>'Bilan GES ISTerre'!AM35</f>
        <v>0</v>
      </c>
      <c r="X32" s="27">
        <f>W32*(1-'Facteurs d''émissions'!BO33)</f>
        <v>0</v>
      </c>
      <c r="Y32" s="28">
        <f>W32*(1+'Facteurs d''émissions'!BO33)</f>
        <v>0</v>
      </c>
      <c r="Z32" s="26">
        <f>'Bilan GES ISTerre'!AR35</f>
        <v>0</v>
      </c>
      <c r="AA32" s="27">
        <f>Z32*(1-'Facteurs d''émissions'!BF33)</f>
        <v>0</v>
      </c>
      <c r="AB32" s="28">
        <f>Z32*(1+'Facteurs d''émissions'!BF33)</f>
        <v>0</v>
      </c>
      <c r="AC32" s="26">
        <f>'Bilan GES ISTerre'!AW35</f>
        <v>0</v>
      </c>
      <c r="AD32" s="27">
        <f>AC32*(1-'Facteurs d''émissions'!CG33)</f>
        <v>0</v>
      </c>
      <c r="AE32" s="28">
        <f>AC32*(1+'Facteurs d''émissions'!CG33)</f>
        <v>0</v>
      </c>
      <c r="AF32" s="26">
        <f>'Bilan GES ISTerre'!BB35</f>
        <v>0</v>
      </c>
      <c r="AG32" s="27">
        <f>AF32*(1-'Facteurs d''émissions'!CP33)</f>
        <v>0</v>
      </c>
      <c r="AH32" s="28">
        <f>AF32*(1+'Facteurs d''émissions'!CP33)</f>
        <v>0</v>
      </c>
    </row>
    <row r="33" spans="1:34" ht="20.100000000000001" customHeight="1">
      <c r="A33" s="572"/>
      <c r="B33" s="749"/>
      <c r="C33" s="748"/>
      <c r="D33" s="352" t="s">
        <v>72</v>
      </c>
      <c r="E33" s="32">
        <f>'Bilan GES ISTerre'!I36</f>
        <v>1.3950058178571469</v>
      </c>
      <c r="F33" s="33">
        <f>E33*(1-'Facteurs d''émissions'!M34)</f>
        <v>0.5580023271428588</v>
      </c>
      <c r="G33" s="34">
        <f>E33*(1+'Facteurs d''émissions'!M34)</f>
        <v>2.2320093085714352</v>
      </c>
      <c r="H33" s="32">
        <f>'Bilan GES ISTerre'!N36</f>
        <v>1.4032252928571469</v>
      </c>
      <c r="I33" s="33">
        <f>H33*(1-'Facteurs d''émissions'!V34)</f>
        <v>0.56129011714285881</v>
      </c>
      <c r="J33" s="34">
        <f>H33*(1+'Facteurs d''émissions'!V34)</f>
        <v>2.2451604685714353</v>
      </c>
      <c r="K33" s="32">
        <f>'Bilan GES ISTerre'!S36</f>
        <v>1.348124367857144</v>
      </c>
      <c r="L33" s="33">
        <f>K33*(1-'Facteurs d''émissions'!AE34)</f>
        <v>0.53924974714285756</v>
      </c>
      <c r="M33" s="34">
        <f>K33*(1+'Facteurs d''émissions'!AE34)</f>
        <v>2.1569989885714302</v>
      </c>
      <c r="N33" s="32">
        <f>'Bilan GES ISTerre'!X36</f>
        <v>0</v>
      </c>
      <c r="O33" s="33">
        <f>N33*(1-'Facteurs d''émissions'!AN34)</f>
        <v>0</v>
      </c>
      <c r="P33" s="34">
        <f>N33*(1+'Facteurs d''émissions'!AN34)</f>
        <v>0</v>
      </c>
      <c r="Q33" s="32">
        <f>'Bilan GES ISTerre'!AC36</f>
        <v>0</v>
      </c>
      <c r="R33" s="33">
        <f>Q33*(1-'Facteurs d''émissions'!AW34)</f>
        <v>0</v>
      </c>
      <c r="S33" s="34">
        <f>Q33*(1+'Facteurs d''émissions'!AW34)</f>
        <v>0</v>
      </c>
      <c r="T33" s="32">
        <f>'Bilan GES ISTerre'!AH36</f>
        <v>0</v>
      </c>
      <c r="U33" s="33">
        <f>T33*(1-'Facteurs d''émissions'!BF34)</f>
        <v>0</v>
      </c>
      <c r="V33" s="34">
        <f>T33*(1+'Facteurs d''émissions'!BF34)</f>
        <v>0</v>
      </c>
      <c r="W33" s="32">
        <f>'Bilan GES ISTerre'!AM36</f>
        <v>0</v>
      </c>
      <c r="X33" s="33">
        <f>W33*(1-'Facteurs d''émissions'!BO34)</f>
        <v>0</v>
      </c>
      <c r="Y33" s="34">
        <f>W33*(1+'Facteurs d''émissions'!BO34)</f>
        <v>0</v>
      </c>
      <c r="Z33" s="32">
        <f>'Bilan GES ISTerre'!AR36</f>
        <v>0</v>
      </c>
      <c r="AA33" s="33">
        <f>Z33*(1-'Facteurs d''émissions'!BF34)</f>
        <v>0</v>
      </c>
      <c r="AB33" s="34">
        <f>Z33*(1+'Facteurs d''émissions'!BF34)</f>
        <v>0</v>
      </c>
      <c r="AC33" s="32">
        <f>'Bilan GES ISTerre'!AW36</f>
        <v>0</v>
      </c>
      <c r="AD33" s="33">
        <f>AC33*(1-'Facteurs d''émissions'!CG34)</f>
        <v>0</v>
      </c>
      <c r="AE33" s="34">
        <f>AC33*(1+'Facteurs d''émissions'!CG34)</f>
        <v>0</v>
      </c>
      <c r="AF33" s="32">
        <f>'Bilan GES ISTerre'!BB36</f>
        <v>0</v>
      </c>
      <c r="AG33" s="33">
        <f>AF33*(1-'Facteurs d''émissions'!CP34)</f>
        <v>0</v>
      </c>
      <c r="AH33" s="34">
        <f>AF33*(1+'Facteurs d''émissions'!CP34)</f>
        <v>0</v>
      </c>
    </row>
    <row r="34" spans="1:34" ht="20.7" customHeight="1">
      <c r="A34" s="53"/>
      <c r="B34" s="563" t="s">
        <v>86</v>
      </c>
      <c r="C34" s="541"/>
      <c r="D34" s="542"/>
      <c r="E34" s="42">
        <f t="shared" ref="E34:AH34" si="2">SUM(E12:E33)</f>
        <v>199.70286670753498</v>
      </c>
      <c r="F34" s="39">
        <f t="shared" si="2"/>
        <v>157.86588621619367</v>
      </c>
      <c r="G34" s="40">
        <f t="shared" si="2"/>
        <v>241.53984719887632</v>
      </c>
      <c r="H34" s="42">
        <f t="shared" si="2"/>
        <v>935.91985844353417</v>
      </c>
      <c r="I34" s="39">
        <f t="shared" si="2"/>
        <v>561.08770434585017</v>
      </c>
      <c r="J34" s="40">
        <f t="shared" si="2"/>
        <v>1310.7520125412179</v>
      </c>
      <c r="K34" s="42">
        <f t="shared" si="2"/>
        <v>184.85271291158526</v>
      </c>
      <c r="L34" s="39">
        <f t="shared" si="2"/>
        <v>141.34910756685531</v>
      </c>
      <c r="M34" s="40">
        <f t="shared" si="2"/>
        <v>228.35631825631523</v>
      </c>
      <c r="N34" s="42">
        <f t="shared" si="2"/>
        <v>4.306</v>
      </c>
      <c r="O34" s="39">
        <f t="shared" si="2"/>
        <v>2.153</v>
      </c>
      <c r="P34" s="40">
        <f t="shared" si="2"/>
        <v>6.4589999999999996</v>
      </c>
      <c r="Q34" s="42">
        <f t="shared" si="2"/>
        <v>0</v>
      </c>
      <c r="R34" s="39">
        <f t="shared" si="2"/>
        <v>0</v>
      </c>
      <c r="S34" s="40">
        <f t="shared" si="2"/>
        <v>0</v>
      </c>
      <c r="T34" s="42">
        <f t="shared" si="2"/>
        <v>0</v>
      </c>
      <c r="U34" s="39">
        <f t="shared" si="2"/>
        <v>0</v>
      </c>
      <c r="V34" s="40">
        <f t="shared" si="2"/>
        <v>0</v>
      </c>
      <c r="W34" s="42">
        <f t="shared" si="2"/>
        <v>0</v>
      </c>
      <c r="X34" s="39">
        <f t="shared" si="2"/>
        <v>0</v>
      </c>
      <c r="Y34" s="40">
        <f t="shared" si="2"/>
        <v>0</v>
      </c>
      <c r="Z34" s="42">
        <f t="shared" si="2"/>
        <v>0</v>
      </c>
      <c r="AA34" s="39">
        <f t="shared" si="2"/>
        <v>0</v>
      </c>
      <c r="AB34" s="40">
        <f t="shared" si="2"/>
        <v>0</v>
      </c>
      <c r="AC34" s="42">
        <f t="shared" si="2"/>
        <v>0</v>
      </c>
      <c r="AD34" s="39">
        <f t="shared" si="2"/>
        <v>0</v>
      </c>
      <c r="AE34" s="40">
        <f t="shared" si="2"/>
        <v>0</v>
      </c>
      <c r="AF34" s="42">
        <f t="shared" si="2"/>
        <v>0</v>
      </c>
      <c r="AG34" s="39">
        <f t="shared" si="2"/>
        <v>0</v>
      </c>
      <c r="AH34" s="40">
        <f t="shared" si="2"/>
        <v>0</v>
      </c>
    </row>
    <row r="35" spans="1:34" ht="21.75" customHeight="1">
      <c r="A35" s="575"/>
      <c r="B35" s="540"/>
      <c r="C35" s="576"/>
      <c r="D35" s="54"/>
      <c r="E35" s="55"/>
      <c r="F35" s="55"/>
      <c r="G35" s="55"/>
      <c r="H35" s="55"/>
      <c r="I35" s="55"/>
      <c r="J35" s="55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</row>
    <row r="36" spans="1:34" ht="20.7" customHeight="1">
      <c r="A36" s="539" t="s">
        <v>87</v>
      </c>
      <c r="B36" s="540"/>
      <c r="C36" s="541"/>
      <c r="D36" s="542"/>
      <c r="E36" s="42">
        <f t="shared" ref="E36:AH36" si="3">E8+E11+E34</f>
        <v>302.68800488882528</v>
      </c>
      <c r="F36" s="39">
        <f t="shared" si="3"/>
        <v>243.32648481341943</v>
      </c>
      <c r="G36" s="40">
        <f t="shared" si="3"/>
        <v>362.04952496423113</v>
      </c>
      <c r="H36" s="42">
        <f t="shared" si="3"/>
        <v>1065.000351264817</v>
      </c>
      <c r="I36" s="39">
        <f t="shared" si="3"/>
        <v>670.97355555484921</v>
      </c>
      <c r="J36" s="40">
        <f t="shared" si="3"/>
        <v>1459.0271469747845</v>
      </c>
      <c r="K36" s="42">
        <f t="shared" si="3"/>
        <v>214.92330111158526</v>
      </c>
      <c r="L36" s="39">
        <f t="shared" si="3"/>
        <v>161.0225997868553</v>
      </c>
      <c r="M36" s="40">
        <f t="shared" si="3"/>
        <v>268.82400243631525</v>
      </c>
      <c r="N36" s="42">
        <f t="shared" si="3"/>
        <v>22.722159999999999</v>
      </c>
      <c r="O36" s="39">
        <f t="shared" si="3"/>
        <v>11.361079999999999</v>
      </c>
      <c r="P36" s="40">
        <f t="shared" si="3"/>
        <v>34.083239999999996</v>
      </c>
      <c r="Q36" s="42">
        <f t="shared" si="3"/>
        <v>0</v>
      </c>
      <c r="R36" s="39">
        <f t="shared" si="3"/>
        <v>0</v>
      </c>
      <c r="S36" s="40">
        <f t="shared" si="3"/>
        <v>0</v>
      </c>
      <c r="T36" s="42">
        <f t="shared" si="3"/>
        <v>0</v>
      </c>
      <c r="U36" s="39">
        <f t="shared" si="3"/>
        <v>0</v>
      </c>
      <c r="V36" s="40">
        <f t="shared" si="3"/>
        <v>0</v>
      </c>
      <c r="W36" s="42">
        <f t="shared" si="3"/>
        <v>0</v>
      </c>
      <c r="X36" s="39">
        <f t="shared" si="3"/>
        <v>0</v>
      </c>
      <c r="Y36" s="40">
        <f t="shared" si="3"/>
        <v>0</v>
      </c>
      <c r="Z36" s="42">
        <f t="shared" si="3"/>
        <v>0</v>
      </c>
      <c r="AA36" s="39">
        <f t="shared" si="3"/>
        <v>0</v>
      </c>
      <c r="AB36" s="40">
        <f t="shared" si="3"/>
        <v>0</v>
      </c>
      <c r="AC36" s="42">
        <f t="shared" si="3"/>
        <v>0</v>
      </c>
      <c r="AD36" s="39">
        <f t="shared" si="3"/>
        <v>0</v>
      </c>
      <c r="AE36" s="40">
        <f t="shared" si="3"/>
        <v>0</v>
      </c>
      <c r="AF36" s="42">
        <f t="shared" si="3"/>
        <v>0</v>
      </c>
      <c r="AG36" s="39">
        <f t="shared" si="3"/>
        <v>0</v>
      </c>
      <c r="AH36" s="40">
        <f t="shared" si="3"/>
        <v>0</v>
      </c>
    </row>
  </sheetData>
  <sheetProtection algorithmName="SHA-512" hashValue="8Te7/w6wk77XlAOLwSo3Z6NSnt2SsFx7qA+frhj3VGjOsR+DRrQksssG6/qzWaA/HoiWUQrS2kD8RTJGxYEFQw==" saltValue="VfX7HsCaFJPg+gQdpfCNvQ==" spinCount="100000" sheet="1" objects="1" scenarios="1"/>
  <mergeCells count="32">
    <mergeCell ref="A1:D1"/>
    <mergeCell ref="C18:C22"/>
    <mergeCell ref="B18:B22"/>
    <mergeCell ref="C23:C33"/>
    <mergeCell ref="B23:B33"/>
    <mergeCell ref="D2:D4"/>
    <mergeCell ref="C9:D9"/>
    <mergeCell ref="B11:D11"/>
    <mergeCell ref="B8:D8"/>
    <mergeCell ref="A2:A4"/>
    <mergeCell ref="B2:B4"/>
    <mergeCell ref="C2:C4"/>
    <mergeCell ref="A5:A7"/>
    <mergeCell ref="A12:A33"/>
    <mergeCell ref="C12:C14"/>
    <mergeCell ref="B12:B14"/>
    <mergeCell ref="AC2:AE2"/>
    <mergeCell ref="AF2:AH2"/>
    <mergeCell ref="A36:D36"/>
    <mergeCell ref="B15:B16"/>
    <mergeCell ref="C15:C16"/>
    <mergeCell ref="A9:A10"/>
    <mergeCell ref="Z2:AB2"/>
    <mergeCell ref="T2:V2"/>
    <mergeCell ref="W2:Y2"/>
    <mergeCell ref="K2:M2"/>
    <mergeCell ref="N2:P2"/>
    <mergeCell ref="Q2:S2"/>
    <mergeCell ref="A35:C35"/>
    <mergeCell ref="E2:G2"/>
    <mergeCell ref="H2:J2"/>
    <mergeCell ref="B34:D34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workbookViewId="0">
      <pane xSplit="4" ySplit="4" topLeftCell="I5" activePane="bottomRight" state="frozen"/>
      <selection pane="topRight"/>
      <selection pane="bottomLeft"/>
      <selection pane="bottomRight" activeCell="I5" sqref="I5"/>
    </sheetView>
  </sheetViews>
  <sheetFormatPr baseColWidth="10" defaultColWidth="16.33203125" defaultRowHeight="19.95" customHeight="1" outlineLevelRow="1" outlineLevelCol="1"/>
  <cols>
    <col min="1" max="1" width="16.33203125" style="2" customWidth="1"/>
    <col min="2" max="2" width="6" style="2" customWidth="1"/>
    <col min="3" max="3" width="32.6640625" style="2" customWidth="1"/>
    <col min="4" max="4" width="18.109375" style="2" customWidth="1"/>
    <col min="5" max="8" width="12.44140625" style="2" hidden="1" customWidth="1" outlineLevel="1"/>
    <col min="9" max="9" width="16.33203125" style="2" customWidth="1" collapsed="1"/>
    <col min="10" max="13" width="12.44140625" style="2" hidden="1" customWidth="1" outlineLevel="1"/>
    <col min="14" max="14" width="16.33203125" style="2" customWidth="1" collapsed="1"/>
    <col min="15" max="18" width="12.44140625" style="2" hidden="1" customWidth="1" outlineLevel="1"/>
    <col min="19" max="19" width="16.33203125" style="2" customWidth="1" collapsed="1"/>
    <col min="20" max="23" width="12.44140625" style="2" hidden="1" customWidth="1" outlineLevel="1"/>
    <col min="24" max="24" width="16.33203125" style="2" customWidth="1" collapsed="1"/>
    <col min="25" max="28" width="12.44140625" style="2" hidden="1" customWidth="1" outlineLevel="1"/>
    <col min="29" max="29" width="16.33203125" style="2" customWidth="1" collapsed="1"/>
    <col min="30" max="33" width="12.44140625" style="2" hidden="1" customWidth="1" outlineLevel="1"/>
    <col min="34" max="34" width="16.33203125" style="2" customWidth="1" collapsed="1"/>
    <col min="35" max="38" width="12.44140625" style="2" hidden="1" customWidth="1" outlineLevel="1"/>
    <col min="39" max="39" width="16.33203125" style="2" customWidth="1" collapsed="1"/>
    <col min="40" max="43" width="12.44140625" style="2" hidden="1" customWidth="1" outlineLevel="1"/>
    <col min="44" max="44" width="16.33203125" style="2" customWidth="1" collapsed="1"/>
    <col min="45" max="48" width="12.44140625" style="2" hidden="1" customWidth="1" outlineLevel="1"/>
    <col min="49" max="49" width="16.33203125" style="2" customWidth="1" collapsed="1"/>
    <col min="50" max="53" width="12.44140625" style="2" hidden="1" customWidth="1" outlineLevel="1"/>
    <col min="54" max="54" width="16.33203125" style="2" customWidth="1" collapsed="1"/>
    <col min="55" max="256" width="16.33203125" style="2" customWidth="1"/>
  </cols>
  <sheetData>
    <row r="1" spans="1:54" ht="23.7" customHeight="1">
      <c r="A1" s="557" t="s">
        <v>27</v>
      </c>
      <c r="B1" s="558"/>
      <c r="C1" s="559"/>
      <c r="D1" s="560"/>
      <c r="E1" s="359"/>
      <c r="F1" s="3"/>
      <c r="G1" s="3"/>
      <c r="H1" s="3"/>
      <c r="I1" s="4"/>
      <c r="J1" s="554" t="s">
        <v>28</v>
      </c>
      <c r="K1" s="555"/>
      <c r="L1" s="555"/>
      <c r="M1" s="555"/>
      <c r="N1" s="55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</row>
    <row r="2" spans="1:54" ht="21.15" customHeight="1">
      <c r="A2" s="543" t="s">
        <v>29</v>
      </c>
      <c r="B2" s="543" t="s">
        <v>30</v>
      </c>
      <c r="C2" s="543" t="s">
        <v>31</v>
      </c>
      <c r="D2" s="544"/>
      <c r="E2" s="548" t="s">
        <v>32</v>
      </c>
      <c r="F2" s="516"/>
      <c r="G2" s="516"/>
      <c r="H2" s="517"/>
      <c r="I2" s="6">
        <v>2016</v>
      </c>
      <c r="J2" s="548" t="s">
        <v>33</v>
      </c>
      <c r="K2" s="516"/>
      <c r="L2" s="516"/>
      <c r="M2" s="517"/>
      <c r="N2" s="6">
        <v>2017</v>
      </c>
      <c r="O2" s="548" t="s">
        <v>34</v>
      </c>
      <c r="P2" s="516"/>
      <c r="Q2" s="516"/>
      <c r="R2" s="517"/>
      <c r="S2" s="6">
        <v>2018</v>
      </c>
      <c r="T2" s="548" t="s">
        <v>35</v>
      </c>
      <c r="U2" s="516"/>
      <c r="V2" s="516"/>
      <c r="W2" s="517"/>
      <c r="X2" s="6">
        <v>2019</v>
      </c>
      <c r="Y2" s="548" t="s">
        <v>36</v>
      </c>
      <c r="Z2" s="516"/>
      <c r="AA2" s="516"/>
      <c r="AB2" s="517"/>
      <c r="AC2" s="6">
        <v>2020</v>
      </c>
      <c r="AD2" s="548" t="s">
        <v>37</v>
      </c>
      <c r="AE2" s="516"/>
      <c r="AF2" s="516"/>
      <c r="AG2" s="517"/>
      <c r="AH2" s="6">
        <v>2021</v>
      </c>
      <c r="AI2" s="548" t="s">
        <v>38</v>
      </c>
      <c r="AJ2" s="516"/>
      <c r="AK2" s="516"/>
      <c r="AL2" s="517"/>
      <c r="AM2" s="6">
        <v>2022</v>
      </c>
      <c r="AN2" s="515">
        <v>2023</v>
      </c>
      <c r="AO2" s="516"/>
      <c r="AP2" s="516"/>
      <c r="AQ2" s="517"/>
      <c r="AR2" s="6">
        <v>2023</v>
      </c>
      <c r="AS2" s="515">
        <v>2024</v>
      </c>
      <c r="AT2" s="516"/>
      <c r="AU2" s="516"/>
      <c r="AV2" s="517"/>
      <c r="AW2" s="6">
        <v>2024</v>
      </c>
      <c r="AX2" s="515">
        <v>2025</v>
      </c>
      <c r="AY2" s="516"/>
      <c r="AZ2" s="516"/>
      <c r="BA2" s="517"/>
      <c r="BB2" s="6">
        <v>2025</v>
      </c>
    </row>
    <row r="3" spans="1:54" ht="30.6" customHeight="1">
      <c r="A3" s="545"/>
      <c r="B3" s="545"/>
      <c r="C3" s="545"/>
      <c r="D3" s="545"/>
      <c r="E3" s="7" t="s">
        <v>39</v>
      </c>
      <c r="F3" s="8" t="s">
        <v>40</v>
      </c>
      <c r="G3" s="8" t="s">
        <v>41</v>
      </c>
      <c r="H3" s="9" t="s">
        <v>42</v>
      </c>
      <c r="I3" s="10" t="s">
        <v>43</v>
      </c>
      <c r="J3" s="7" t="s">
        <v>39</v>
      </c>
      <c r="K3" s="8" t="s">
        <v>40</v>
      </c>
      <c r="L3" s="8" t="s">
        <v>41</v>
      </c>
      <c r="M3" s="9" t="s">
        <v>42</v>
      </c>
      <c r="N3" s="10" t="s">
        <v>44</v>
      </c>
      <c r="O3" s="7" t="s">
        <v>39</v>
      </c>
      <c r="P3" s="8" t="s">
        <v>40</v>
      </c>
      <c r="Q3" s="8" t="s">
        <v>41</v>
      </c>
      <c r="R3" s="9" t="s">
        <v>42</v>
      </c>
      <c r="S3" s="10" t="s">
        <v>44</v>
      </c>
      <c r="T3" s="7" t="s">
        <v>39</v>
      </c>
      <c r="U3" s="8" t="s">
        <v>40</v>
      </c>
      <c r="V3" s="8" t="s">
        <v>41</v>
      </c>
      <c r="W3" s="9" t="s">
        <v>42</v>
      </c>
      <c r="X3" s="10" t="s">
        <v>44</v>
      </c>
      <c r="Y3" s="7" t="s">
        <v>39</v>
      </c>
      <c r="Z3" s="8" t="s">
        <v>40</v>
      </c>
      <c r="AA3" s="8" t="s">
        <v>41</v>
      </c>
      <c r="AB3" s="9" t="s">
        <v>42</v>
      </c>
      <c r="AC3" s="10" t="s">
        <v>44</v>
      </c>
      <c r="AD3" s="7" t="s">
        <v>39</v>
      </c>
      <c r="AE3" s="8" t="s">
        <v>40</v>
      </c>
      <c r="AF3" s="8" t="s">
        <v>41</v>
      </c>
      <c r="AG3" s="9" t="s">
        <v>42</v>
      </c>
      <c r="AH3" s="10" t="s">
        <v>44</v>
      </c>
      <c r="AI3" s="7" t="s">
        <v>39</v>
      </c>
      <c r="AJ3" s="8" t="s">
        <v>40</v>
      </c>
      <c r="AK3" s="8" t="s">
        <v>41</v>
      </c>
      <c r="AL3" s="9" t="s">
        <v>42</v>
      </c>
      <c r="AM3" s="10" t="s">
        <v>44</v>
      </c>
      <c r="AN3" s="7" t="s">
        <v>39</v>
      </c>
      <c r="AO3" s="8" t="s">
        <v>40</v>
      </c>
      <c r="AP3" s="8" t="s">
        <v>41</v>
      </c>
      <c r="AQ3" s="9" t="s">
        <v>42</v>
      </c>
      <c r="AR3" s="10" t="s">
        <v>44</v>
      </c>
      <c r="AS3" s="7" t="s">
        <v>39</v>
      </c>
      <c r="AT3" s="8" t="s">
        <v>40</v>
      </c>
      <c r="AU3" s="8" t="s">
        <v>41</v>
      </c>
      <c r="AV3" s="9" t="s">
        <v>42</v>
      </c>
      <c r="AW3" s="10" t="s">
        <v>44</v>
      </c>
      <c r="AX3" s="7" t="s">
        <v>39</v>
      </c>
      <c r="AY3" s="8" t="s">
        <v>40</v>
      </c>
      <c r="AZ3" s="8" t="s">
        <v>41</v>
      </c>
      <c r="BA3" s="9" t="s">
        <v>42</v>
      </c>
      <c r="BB3" s="10" t="s">
        <v>44</v>
      </c>
    </row>
    <row r="4" spans="1:54" ht="31.2" customHeight="1">
      <c r="A4" s="546"/>
      <c r="B4" s="546"/>
      <c r="C4" s="546"/>
      <c r="D4" s="546"/>
      <c r="E4" s="11" t="s">
        <v>45</v>
      </c>
      <c r="F4" s="12" t="s">
        <v>45</v>
      </c>
      <c r="G4" s="12" t="s">
        <v>45</v>
      </c>
      <c r="H4" s="13" t="s">
        <v>45</v>
      </c>
      <c r="I4" s="14" t="s">
        <v>45</v>
      </c>
      <c r="J4" s="11" t="s">
        <v>45</v>
      </c>
      <c r="K4" s="12" t="s">
        <v>45</v>
      </c>
      <c r="L4" s="12" t="s">
        <v>45</v>
      </c>
      <c r="M4" s="13" t="s">
        <v>45</v>
      </c>
      <c r="N4" s="14" t="s">
        <v>45</v>
      </c>
      <c r="O4" s="11" t="s">
        <v>45</v>
      </c>
      <c r="P4" s="12" t="s">
        <v>45</v>
      </c>
      <c r="Q4" s="12" t="s">
        <v>45</v>
      </c>
      <c r="R4" s="13" t="s">
        <v>45</v>
      </c>
      <c r="S4" s="14" t="s">
        <v>45</v>
      </c>
      <c r="T4" s="11" t="s">
        <v>45</v>
      </c>
      <c r="U4" s="12" t="s">
        <v>45</v>
      </c>
      <c r="V4" s="12" t="s">
        <v>45</v>
      </c>
      <c r="W4" s="13" t="s">
        <v>45</v>
      </c>
      <c r="X4" s="14" t="s">
        <v>45</v>
      </c>
      <c r="Y4" s="11" t="s">
        <v>45</v>
      </c>
      <c r="Z4" s="12" t="s">
        <v>45</v>
      </c>
      <c r="AA4" s="12" t="s">
        <v>45</v>
      </c>
      <c r="AB4" s="13" t="s">
        <v>45</v>
      </c>
      <c r="AC4" s="14" t="s">
        <v>45</v>
      </c>
      <c r="AD4" s="11" t="s">
        <v>45</v>
      </c>
      <c r="AE4" s="12" t="s">
        <v>45</v>
      </c>
      <c r="AF4" s="12" t="s">
        <v>45</v>
      </c>
      <c r="AG4" s="13" t="s">
        <v>45</v>
      </c>
      <c r="AH4" s="14" t="s">
        <v>45</v>
      </c>
      <c r="AI4" s="11" t="s">
        <v>45</v>
      </c>
      <c r="AJ4" s="12" t="s">
        <v>45</v>
      </c>
      <c r="AK4" s="12" t="s">
        <v>45</v>
      </c>
      <c r="AL4" s="13" t="s">
        <v>45</v>
      </c>
      <c r="AM4" s="14" t="s">
        <v>45</v>
      </c>
      <c r="AN4" s="11" t="s">
        <v>45</v>
      </c>
      <c r="AO4" s="12" t="s">
        <v>45</v>
      </c>
      <c r="AP4" s="12" t="s">
        <v>45</v>
      </c>
      <c r="AQ4" s="13" t="s">
        <v>45</v>
      </c>
      <c r="AR4" s="14" t="s">
        <v>45</v>
      </c>
      <c r="AS4" s="11" t="s">
        <v>45</v>
      </c>
      <c r="AT4" s="12" t="s">
        <v>45</v>
      </c>
      <c r="AU4" s="12" t="s">
        <v>45</v>
      </c>
      <c r="AV4" s="13" t="s">
        <v>45</v>
      </c>
      <c r="AW4" s="14" t="s">
        <v>45</v>
      </c>
      <c r="AX4" s="11" t="s">
        <v>45</v>
      </c>
      <c r="AY4" s="12" t="s">
        <v>45</v>
      </c>
      <c r="AZ4" s="12" t="s">
        <v>45</v>
      </c>
      <c r="BA4" s="13" t="s">
        <v>45</v>
      </c>
      <c r="BB4" s="14" t="s">
        <v>45</v>
      </c>
    </row>
    <row r="5" spans="1:54" ht="38.1" customHeight="1">
      <c r="A5" s="574" t="s">
        <v>46</v>
      </c>
      <c r="B5" s="15">
        <v>1</v>
      </c>
      <c r="C5" s="16" t="s">
        <v>47</v>
      </c>
      <c r="D5" s="17"/>
      <c r="E5" s="18">
        <f>'Synthèse consos annuelles'!F3*'Facteurs d''émissions'!F5/1000</f>
        <v>0</v>
      </c>
      <c r="F5" s="19">
        <f>'Synthèse consos annuelles'!F3*'Facteurs d''émissions'!G5/1000</f>
        <v>0</v>
      </c>
      <c r="G5" s="20">
        <f>'Synthèse consos annuelles'!F3*'Facteurs d''émissions'!H5/1000</f>
        <v>0</v>
      </c>
      <c r="H5" s="21">
        <f>'Synthèse consos annuelles'!F3*'Facteurs d''émissions'!I5/1000</f>
        <v>0</v>
      </c>
      <c r="I5" s="22">
        <f>'Synthèse consos annuelles'!F3*'Facteurs d''émissions'!L5</f>
        <v>0</v>
      </c>
      <c r="J5" s="23">
        <f>'Synthèse consos annuelles'!G3*'Facteurs d''émissions'!O5/1000</f>
        <v>0</v>
      </c>
      <c r="K5" s="20">
        <f>'Synthèse consos annuelles'!G3*'Facteurs d''émissions'!P5/1000</f>
        <v>0</v>
      </c>
      <c r="L5" s="20">
        <f>'Synthèse consos annuelles'!G3*'Facteurs d''émissions'!Q5/1000</f>
        <v>0</v>
      </c>
      <c r="M5" s="21">
        <f>'Synthèse consos annuelles'!G3*'Facteurs d''émissions'!R5/1000</f>
        <v>0</v>
      </c>
      <c r="N5" s="22">
        <f>'Synthèse consos annuelles'!G3*'Facteurs d''émissions'!U5</f>
        <v>0</v>
      </c>
      <c r="O5" s="23">
        <f>'Synthèse consos annuelles'!H3*'Facteurs d''émissions'!X5/1000</f>
        <v>0</v>
      </c>
      <c r="P5" s="20">
        <f>'Synthèse consos annuelles'!H3*'Facteurs d''émissions'!Y5/1000</f>
        <v>0</v>
      </c>
      <c r="Q5" s="20">
        <f>'Synthèse consos annuelles'!H3*'Facteurs d''émissions'!Z5/1000</f>
        <v>0</v>
      </c>
      <c r="R5" s="21">
        <f>'Synthèse consos annuelles'!H3*'Facteurs d''émissions'!AA5/1000</f>
        <v>0</v>
      </c>
      <c r="S5" s="22">
        <f>'Synthèse consos annuelles'!H3*'Facteurs d''émissions'!AD5</f>
        <v>0</v>
      </c>
      <c r="T5" s="23">
        <f>'Synthèse consos annuelles'!I3*'Facteurs d''émissions'!AG5/1000</f>
        <v>0</v>
      </c>
      <c r="U5" s="20">
        <f>'Synthèse consos annuelles'!I3*'Facteurs d''émissions'!AH5/1000</f>
        <v>0</v>
      </c>
      <c r="V5" s="20">
        <f>'Synthèse consos annuelles'!I3*'Facteurs d''émissions'!AI5/1000</f>
        <v>0</v>
      </c>
      <c r="W5" s="21">
        <f>'Synthèse consos annuelles'!I3*'Facteurs d''émissions'!AJ5/1000</f>
        <v>0</v>
      </c>
      <c r="X5" s="22">
        <f>'Synthèse consos annuelles'!I3*'Facteurs d''émissions'!AM5</f>
        <v>0</v>
      </c>
      <c r="Y5" s="23">
        <f>'Synthèse consos annuelles'!J3*'Facteurs d''émissions'!AP5/1000</f>
        <v>0</v>
      </c>
      <c r="Z5" s="20">
        <f>'Synthèse consos annuelles'!J3*'Facteurs d''émissions'!AQ5/1000</f>
        <v>0</v>
      </c>
      <c r="AA5" s="20">
        <f>'Synthèse consos annuelles'!J3*'Facteurs d''émissions'!AR5/1000</f>
        <v>0</v>
      </c>
      <c r="AB5" s="21">
        <f>'Synthèse consos annuelles'!J3*'Facteurs d''émissions'!AS5/1000</f>
        <v>0</v>
      </c>
      <c r="AC5" s="22">
        <f>'Synthèse consos annuelles'!J3*'Facteurs d''émissions'!AV5</f>
        <v>0</v>
      </c>
      <c r="AD5" s="23">
        <f>'Synthèse consos annuelles'!K3*'Facteurs d''émissions'!AY5/1000</f>
        <v>0</v>
      </c>
      <c r="AE5" s="20">
        <f>'Synthèse consos annuelles'!K3*'Facteurs d''émissions'!AZ5/1000</f>
        <v>0</v>
      </c>
      <c r="AF5" s="20">
        <f>'Synthèse consos annuelles'!K3*'Facteurs d''émissions'!BA5/1000</f>
        <v>0</v>
      </c>
      <c r="AG5" s="21">
        <f>'Synthèse consos annuelles'!K3*'Facteurs d''émissions'!BB5/1000</f>
        <v>0</v>
      </c>
      <c r="AH5" s="22">
        <f>'Synthèse consos annuelles'!K3*'Facteurs d''émissions'!BE5</f>
        <v>0</v>
      </c>
      <c r="AI5" s="23">
        <f>'Synthèse consos annuelles'!L3*'Facteurs d''émissions'!BH5/1000</f>
        <v>0</v>
      </c>
      <c r="AJ5" s="20">
        <f>'Synthèse consos annuelles'!L3*'Facteurs d''émissions'!BI5/1000</f>
        <v>0</v>
      </c>
      <c r="AK5" s="20">
        <f>'Synthèse consos annuelles'!L3*'Facteurs d''émissions'!BJ5/1000</f>
        <v>0</v>
      </c>
      <c r="AL5" s="21">
        <f>'Synthèse consos annuelles'!L3*'Facteurs d''émissions'!BK5/1000</f>
        <v>0</v>
      </c>
      <c r="AM5" s="22">
        <f>'Synthèse consos annuelles'!L3*'Facteurs d''émissions'!BN5</f>
        <v>0</v>
      </c>
      <c r="AN5" s="23">
        <f>'Synthèse consos annuelles'!$M3*'Facteurs d''émissions'!BQ5/1000</f>
        <v>0</v>
      </c>
      <c r="AO5" s="20">
        <f>'Synthèse consos annuelles'!$M3*'Facteurs d''émissions'!BR5/1000</f>
        <v>0</v>
      </c>
      <c r="AP5" s="20">
        <f>'Synthèse consos annuelles'!$M3*'Facteurs d''émissions'!BS5/1000</f>
        <v>0</v>
      </c>
      <c r="AQ5" s="21">
        <f>'Synthèse consos annuelles'!$M3*'Facteurs d''émissions'!BT5/1000</f>
        <v>0</v>
      </c>
      <c r="AR5" s="22">
        <f>'Synthèse consos annuelles'!$M3*'Facteurs d''émissions'!BW5</f>
        <v>0</v>
      </c>
      <c r="AS5" s="23">
        <f>'Synthèse consos annuelles'!$N3*'Facteurs d''émissions'!BZ5/1000</f>
        <v>0</v>
      </c>
      <c r="AT5" s="20">
        <f>'Synthèse consos annuelles'!$N3*'Facteurs d''émissions'!CA5/1000</f>
        <v>0</v>
      </c>
      <c r="AU5" s="20">
        <f>'Synthèse consos annuelles'!$N3*'Facteurs d''émissions'!CB5/1000</f>
        <v>0</v>
      </c>
      <c r="AV5" s="21">
        <f>'Synthèse consos annuelles'!$N3*'Facteurs d''émissions'!CC5/1000</f>
        <v>0</v>
      </c>
      <c r="AW5" s="22">
        <f>'Synthèse consos annuelles'!$M3*'Facteurs d''émissions'!CF5</f>
        <v>0</v>
      </c>
      <c r="AX5" s="23">
        <f>'Synthèse consos annuelles'!$O3*'Facteurs d''émissions'!CI5/1000</f>
        <v>0</v>
      </c>
      <c r="AY5" s="20">
        <f>'Synthèse consos annuelles'!$O3*'Facteurs d''émissions'!CJ5/1000</f>
        <v>0</v>
      </c>
      <c r="AZ5" s="20">
        <f>'Synthèse consos annuelles'!$O3*'Facteurs d''émissions'!CK5/1000</f>
        <v>0</v>
      </c>
      <c r="BA5" s="21">
        <f>'Synthèse consos annuelles'!$O3*'Facteurs d''émissions'!CL5/1000</f>
        <v>0</v>
      </c>
      <c r="BB5" s="22">
        <f>'Synthèse consos annuelles'!$O3*'Facteurs d''émissions'!CO5/1000</f>
        <v>0</v>
      </c>
    </row>
    <row r="6" spans="1:54" ht="38.1" customHeight="1">
      <c r="A6" s="571"/>
      <c r="B6" s="24">
        <v>2</v>
      </c>
      <c r="C6" s="25" t="s">
        <v>48</v>
      </c>
      <c r="D6" s="25" t="s">
        <v>49</v>
      </c>
      <c r="E6" s="26">
        <f>'Synthèse consos annuelles'!F4*'Facteurs d''émissions'!F6/1000</f>
        <v>0</v>
      </c>
      <c r="F6" s="27">
        <f>'Synthèse consos annuelles'!F4*'Facteurs d''émissions'!G6/1000</f>
        <v>0</v>
      </c>
      <c r="G6" s="27">
        <f>'Synthèse consos annuelles'!F4*'Facteurs d''émissions'!H6/1000</f>
        <v>0</v>
      </c>
      <c r="H6" s="28">
        <f>'Synthèse consos annuelles'!F4*'Facteurs d''émissions'!I6/1000</f>
        <v>0</v>
      </c>
      <c r="I6" s="29">
        <f>'Synthèse consos annuelles'!F4*'Facteurs d''émissions'!L6</f>
        <v>0</v>
      </c>
      <c r="J6" s="26">
        <f>'Synthèse consos annuelles'!G4*'Facteurs d''émissions'!O6/1000</f>
        <v>11.876417440000001</v>
      </c>
      <c r="K6" s="27">
        <f>'Synthèse consos annuelles'!G4*'Facteurs d''émissions'!P6/1000</f>
        <v>4.4680231740000008E-3</v>
      </c>
      <c r="L6" s="27">
        <f>'Synthèse consos annuelles'!G4*'Facteurs d''émissions'!Q6/1000</f>
        <v>0.10727086720000001</v>
      </c>
      <c r="M6" s="28">
        <f>'Synthèse consos annuelles'!G4*'Facteurs d''émissions'!R6/1000</f>
        <v>0</v>
      </c>
      <c r="N6" s="29">
        <f>'Synthèse consos annuelles'!G4*'Facteurs d''émissions'!U6</f>
        <v>12.02008378</v>
      </c>
      <c r="O6" s="26">
        <f>'Synthèse consos annuelles'!H4*'Facteurs d''émissions'!X6/1000</f>
        <v>11.3986752</v>
      </c>
      <c r="P6" s="27">
        <f>'Synthèse consos annuelles'!H4*'Facteurs d''émissions'!Y6/1000</f>
        <v>4.2882919199999994E-3</v>
      </c>
      <c r="Q6" s="27">
        <f>'Synthèse consos annuelles'!H4*'Facteurs d''émissions'!Z6/1000</f>
        <v>0.102955776</v>
      </c>
      <c r="R6" s="28">
        <f>'Synthèse consos annuelles'!H4*'Facteurs d''émissions'!AA6/1000</f>
        <v>0</v>
      </c>
      <c r="S6" s="29">
        <f>'Synthèse consos annuelles'!H4*'Facteurs d''émissions'!AD6</f>
        <v>11.536562399999998</v>
      </c>
      <c r="T6" s="26">
        <f>'Synthèse consos annuelles'!I4*'Facteurs d''émissions'!AG6/1000</f>
        <v>0</v>
      </c>
      <c r="U6" s="27">
        <f>'Synthèse consos annuelles'!I4*'Facteurs d''émissions'!AH6/1000</f>
        <v>0</v>
      </c>
      <c r="V6" s="27">
        <f>'Synthèse consos annuelles'!I4*'Facteurs d''émissions'!AI6/1000</f>
        <v>0</v>
      </c>
      <c r="W6" s="28">
        <f>'Synthèse consos annuelles'!I4*'Facteurs d''émissions'!AJ6/1000</f>
        <v>0</v>
      </c>
      <c r="X6" s="29">
        <f>'Synthèse consos annuelles'!I4*'Facteurs d''émissions'!AM6</f>
        <v>0</v>
      </c>
      <c r="Y6" s="26">
        <f>'Synthèse consos annuelles'!J4*'Facteurs d''émissions'!AP6/1000</f>
        <v>0</v>
      </c>
      <c r="Z6" s="27">
        <f>'Synthèse consos annuelles'!J4*'Facteurs d''émissions'!AQ6/1000</f>
        <v>0</v>
      </c>
      <c r="AA6" s="27">
        <f>'Synthèse consos annuelles'!J4*'Facteurs d''émissions'!AR6/1000</f>
        <v>0</v>
      </c>
      <c r="AB6" s="28">
        <f>'Synthèse consos annuelles'!J4*'Facteurs d''émissions'!AS6/1000</f>
        <v>0</v>
      </c>
      <c r="AC6" s="29">
        <f>'Synthèse consos annuelles'!J4*'Facteurs d''émissions'!AV6</f>
        <v>0</v>
      </c>
      <c r="AD6" s="26">
        <f>'Synthèse consos annuelles'!K4*'Facteurs d''émissions'!AY6/1000</f>
        <v>0</v>
      </c>
      <c r="AE6" s="27">
        <f>'Synthèse consos annuelles'!K4*'Facteurs d''émissions'!AZ6/1000</f>
        <v>0</v>
      </c>
      <c r="AF6" s="27">
        <f>'Synthèse consos annuelles'!K4*'Facteurs d''émissions'!BA6/1000</f>
        <v>0</v>
      </c>
      <c r="AG6" s="28">
        <f>'Synthèse consos annuelles'!K4*'Facteurs d''émissions'!BB6/1000</f>
        <v>0</v>
      </c>
      <c r="AH6" s="29">
        <f>'Synthèse consos annuelles'!K4*'Facteurs d''émissions'!BE6</f>
        <v>0</v>
      </c>
      <c r="AI6" s="26">
        <f>'Synthèse consos annuelles'!L4*'Facteurs d''émissions'!BH6/1000</f>
        <v>0</v>
      </c>
      <c r="AJ6" s="27">
        <f>'Synthèse consos annuelles'!L4*'Facteurs d''émissions'!BI6/1000</f>
        <v>0</v>
      </c>
      <c r="AK6" s="27">
        <f>'Synthèse consos annuelles'!L4*'Facteurs d''émissions'!BJ6/1000</f>
        <v>0</v>
      </c>
      <c r="AL6" s="28">
        <f>'Synthèse consos annuelles'!L4*'Facteurs d''émissions'!BK6/1000</f>
        <v>0</v>
      </c>
      <c r="AM6" s="29">
        <f>'Synthèse consos annuelles'!L4*'Facteurs d''émissions'!BN6</f>
        <v>0</v>
      </c>
      <c r="AN6" s="26">
        <f>'Synthèse consos annuelles'!$M4*'Facteurs d''émissions'!BQ6/1000</f>
        <v>0</v>
      </c>
      <c r="AO6" s="27">
        <f>'Synthèse consos annuelles'!$M4*'Facteurs d''émissions'!BR6/1000</f>
        <v>0</v>
      </c>
      <c r="AP6" s="27">
        <f>'Synthèse consos annuelles'!$M4*'Facteurs d''émissions'!BS6/1000</f>
        <v>0</v>
      </c>
      <c r="AQ6" s="28">
        <f>'Synthèse consos annuelles'!$M4*'Facteurs d''émissions'!BT6/1000</f>
        <v>0</v>
      </c>
      <c r="AR6" s="29">
        <f>'Synthèse consos annuelles'!$M4*'Facteurs d''émissions'!BW6</f>
        <v>0</v>
      </c>
      <c r="AS6" s="26">
        <f>'Synthèse consos annuelles'!$N4*'Facteurs d''émissions'!BZ6/1000</f>
        <v>0</v>
      </c>
      <c r="AT6" s="27">
        <f>'Synthèse consos annuelles'!$N4*'Facteurs d''émissions'!CA6/1000</f>
        <v>0</v>
      </c>
      <c r="AU6" s="27">
        <f>'Synthèse consos annuelles'!$N4*'Facteurs d''émissions'!CB6/1000</f>
        <v>0</v>
      </c>
      <c r="AV6" s="28">
        <f>'Synthèse consos annuelles'!$N4*'Facteurs d''émissions'!CC6/1000</f>
        <v>0</v>
      </c>
      <c r="AW6" s="29">
        <f>'Synthèse consos annuelles'!$M4*'Facteurs d''émissions'!CF6</f>
        <v>0</v>
      </c>
      <c r="AX6" s="26">
        <f>'Synthèse consos annuelles'!$O4*'Facteurs d''émissions'!CI6/1000</f>
        <v>0</v>
      </c>
      <c r="AY6" s="27">
        <f>'Synthèse consos annuelles'!$O4*'Facteurs d''émissions'!CJ6/1000</f>
        <v>0</v>
      </c>
      <c r="AZ6" s="27">
        <f>'Synthèse consos annuelles'!$O4*'Facteurs d''émissions'!CK6/1000</f>
        <v>0</v>
      </c>
      <c r="BA6" s="28">
        <f>'Synthèse consos annuelles'!$O4*'Facteurs d''émissions'!CL6/1000</f>
        <v>0</v>
      </c>
      <c r="BB6" s="29">
        <f>'Synthèse consos annuelles'!$O4*'Facteurs d''émissions'!CO6/1000</f>
        <v>0</v>
      </c>
    </row>
    <row r="7" spans="1:54" ht="38.1" customHeight="1">
      <c r="A7" s="572"/>
      <c r="B7" s="30">
        <v>4</v>
      </c>
      <c r="C7" s="31" t="s">
        <v>50</v>
      </c>
      <c r="D7" s="31" t="s">
        <v>51</v>
      </c>
      <c r="E7" s="32">
        <v>0</v>
      </c>
      <c r="F7" s="33">
        <v>0</v>
      </c>
      <c r="G7" s="33">
        <v>0</v>
      </c>
      <c r="H7" s="34">
        <f>'Synthèse consos annuelles'!F5*'Facteurs d''émissions'!I7*'Infos ISTerre'!$C$39/1000</f>
        <v>18.416160000000001</v>
      </c>
      <c r="I7" s="35">
        <f>'Synthèse consos annuelles'!F5*'Facteurs d''émissions'!L7*'Infos ISTerre'!$C$39</f>
        <v>18.416159999999998</v>
      </c>
      <c r="J7" s="32">
        <v>0</v>
      </c>
      <c r="K7" s="33">
        <v>0</v>
      </c>
      <c r="L7" s="33">
        <v>0</v>
      </c>
      <c r="M7" s="34">
        <f>'Synthèse consos annuelles'!G5*'Facteurs d''émissions'!R7*'Infos ISTerre'!$C$39/1000</f>
        <v>18.416160000000001</v>
      </c>
      <c r="N7" s="35">
        <f>'Synthèse consos annuelles'!G5*'Facteurs d''émissions'!U7*'Infos ISTerre'!$C$39</f>
        <v>18.416159999999998</v>
      </c>
      <c r="O7" s="32">
        <v>0</v>
      </c>
      <c r="P7" s="33">
        <v>0</v>
      </c>
      <c r="Q7" s="33">
        <v>0</v>
      </c>
      <c r="R7" s="34">
        <f>'Synthèse consos annuelles'!H5*'Facteurs d''émissions'!AA7*'Infos ISTerre'!$C$39/1000</f>
        <v>18.416160000000001</v>
      </c>
      <c r="S7" s="35">
        <f>'Synthèse consos annuelles'!H5*'Facteurs d''émissions'!AD7*'Infos ISTerre'!$C$39</f>
        <v>18.416159999999998</v>
      </c>
      <c r="T7" s="32">
        <v>0</v>
      </c>
      <c r="U7" s="33">
        <v>0</v>
      </c>
      <c r="V7" s="33">
        <v>0</v>
      </c>
      <c r="W7" s="34">
        <f>'Synthèse consos annuelles'!I5*'Facteurs d''émissions'!AJ7*'Infos ISTerre'!$C$39/1000</f>
        <v>18.416160000000001</v>
      </c>
      <c r="X7" s="35">
        <f>'Synthèse consos annuelles'!I5*'Facteurs d''émissions'!AM7*'Infos ISTerre'!$C$39</f>
        <v>18.416159999999998</v>
      </c>
      <c r="Y7" s="32">
        <v>0</v>
      </c>
      <c r="Z7" s="33">
        <v>0</v>
      </c>
      <c r="AA7" s="33">
        <v>0</v>
      </c>
      <c r="AB7" s="34">
        <f>'Synthèse consos annuelles'!J5*'Facteurs d''émissions'!AS7*'Infos ISTerre'!$C$39/1000</f>
        <v>0</v>
      </c>
      <c r="AC7" s="35">
        <f>'Synthèse consos annuelles'!J5*'Facteurs d''émissions'!AV7*'Infos ISTerre'!$C$39</f>
        <v>0</v>
      </c>
      <c r="AD7" s="32">
        <v>0</v>
      </c>
      <c r="AE7" s="33">
        <v>0</v>
      </c>
      <c r="AF7" s="33">
        <v>0</v>
      </c>
      <c r="AG7" s="34">
        <f>'Synthèse consos annuelles'!K5*'Facteurs d''émissions'!BB7*'Infos ISTerre'!$C$39/1000</f>
        <v>0</v>
      </c>
      <c r="AH7" s="35">
        <f>'Synthèse consos annuelles'!K5*'Facteurs d''émissions'!BE7*'Infos ISTerre'!$C$39</f>
        <v>0</v>
      </c>
      <c r="AI7" s="32">
        <v>0</v>
      </c>
      <c r="AJ7" s="33">
        <v>0</v>
      </c>
      <c r="AK7" s="33">
        <v>0</v>
      </c>
      <c r="AL7" s="34">
        <f>'Synthèse consos annuelles'!L5*'Facteurs d''émissions'!BK7*'Infos ISTerre'!$C$39/1000</f>
        <v>0</v>
      </c>
      <c r="AM7" s="35">
        <f>'Synthèse consos annuelles'!L5*'Facteurs d''émissions'!BN7*'Infos ISTerre'!$C$39</f>
        <v>0</v>
      </c>
      <c r="AN7" s="32">
        <v>0</v>
      </c>
      <c r="AO7" s="33">
        <v>0</v>
      </c>
      <c r="AP7" s="33">
        <v>0</v>
      </c>
      <c r="AQ7" s="34">
        <f>'Synthèse consos annuelles'!M5*'Facteurs d''émissions'!BT7*'Infos ISTerre'!$C$39/1000</f>
        <v>0</v>
      </c>
      <c r="AR7" s="35">
        <f>'Synthèse consos annuelles'!M5*'Facteurs d''émissions'!BW7*'Infos ISTerre'!$C$39</f>
        <v>0</v>
      </c>
      <c r="AS7" s="32">
        <v>0</v>
      </c>
      <c r="AT7" s="33">
        <v>0</v>
      </c>
      <c r="AU7" s="33">
        <v>0</v>
      </c>
      <c r="AV7" s="34">
        <f>'Synthèse consos annuelles'!N5*'Facteurs d''émissions'!CC7*'Infos ISTerre'!$C$39/1000</f>
        <v>0</v>
      </c>
      <c r="AW7" s="35">
        <f>'Synthèse consos annuelles'!N5*'Facteurs d''émissions'!CF7*'Infos ISTerre'!$C$39</f>
        <v>0</v>
      </c>
      <c r="AX7" s="32">
        <v>0</v>
      </c>
      <c r="AY7" s="33">
        <v>0</v>
      </c>
      <c r="AZ7" s="33">
        <v>0</v>
      </c>
      <c r="BA7" s="34">
        <f>'Synthèse consos annuelles'!O5*'Facteurs d''émissions'!CL7*'Infos ISTerre'!$C$39/1000</f>
        <v>0</v>
      </c>
      <c r="BB7" s="35">
        <f>'Synthèse consos annuelles'!O5*'Facteurs d''émissions'!CO7*'Infos ISTerre'!$C$39</f>
        <v>0</v>
      </c>
    </row>
    <row r="8" spans="1:54" ht="20.7" customHeight="1">
      <c r="A8" s="36"/>
      <c r="B8" s="561" t="s">
        <v>52</v>
      </c>
      <c r="C8" s="541"/>
      <c r="D8" s="542"/>
      <c r="E8" s="37">
        <f t="shared" ref="E8:AJ8" si="0">SUM(E5:E7)</f>
        <v>0</v>
      </c>
      <c r="F8" s="38">
        <f t="shared" si="0"/>
        <v>0</v>
      </c>
      <c r="G8" s="39">
        <f t="shared" si="0"/>
        <v>0</v>
      </c>
      <c r="H8" s="40">
        <f t="shared" si="0"/>
        <v>18.416160000000001</v>
      </c>
      <c r="I8" s="41">
        <f t="shared" si="0"/>
        <v>18.416159999999998</v>
      </c>
      <c r="J8" s="42">
        <f t="shared" si="0"/>
        <v>11.876417440000001</v>
      </c>
      <c r="K8" s="39">
        <f t="shared" si="0"/>
        <v>4.4680231740000008E-3</v>
      </c>
      <c r="L8" s="39">
        <f t="shared" si="0"/>
        <v>0.10727086720000001</v>
      </c>
      <c r="M8" s="40">
        <f t="shared" si="0"/>
        <v>18.416160000000001</v>
      </c>
      <c r="N8" s="41">
        <f t="shared" si="0"/>
        <v>30.436243779999998</v>
      </c>
      <c r="O8" s="42">
        <f t="shared" si="0"/>
        <v>11.3986752</v>
      </c>
      <c r="P8" s="39">
        <f t="shared" si="0"/>
        <v>4.2882919199999994E-3</v>
      </c>
      <c r="Q8" s="39">
        <f t="shared" si="0"/>
        <v>0.102955776</v>
      </c>
      <c r="R8" s="40">
        <f t="shared" si="0"/>
        <v>18.416160000000001</v>
      </c>
      <c r="S8" s="41">
        <f t="shared" si="0"/>
        <v>29.952722399999995</v>
      </c>
      <c r="T8" s="42">
        <f t="shared" si="0"/>
        <v>0</v>
      </c>
      <c r="U8" s="39">
        <f t="shared" si="0"/>
        <v>0</v>
      </c>
      <c r="V8" s="39">
        <f t="shared" si="0"/>
        <v>0</v>
      </c>
      <c r="W8" s="40">
        <f t="shared" si="0"/>
        <v>18.416160000000001</v>
      </c>
      <c r="X8" s="41">
        <f t="shared" si="0"/>
        <v>18.416159999999998</v>
      </c>
      <c r="Y8" s="42">
        <f t="shared" si="0"/>
        <v>0</v>
      </c>
      <c r="Z8" s="39">
        <f t="shared" si="0"/>
        <v>0</v>
      </c>
      <c r="AA8" s="39">
        <f t="shared" si="0"/>
        <v>0</v>
      </c>
      <c r="AB8" s="40">
        <f t="shared" si="0"/>
        <v>0</v>
      </c>
      <c r="AC8" s="41">
        <f t="shared" si="0"/>
        <v>0</v>
      </c>
      <c r="AD8" s="42">
        <f t="shared" si="0"/>
        <v>0</v>
      </c>
      <c r="AE8" s="39">
        <f t="shared" si="0"/>
        <v>0</v>
      </c>
      <c r="AF8" s="39">
        <f t="shared" si="0"/>
        <v>0</v>
      </c>
      <c r="AG8" s="40">
        <f t="shared" si="0"/>
        <v>0</v>
      </c>
      <c r="AH8" s="41">
        <f t="shared" si="0"/>
        <v>0</v>
      </c>
      <c r="AI8" s="42">
        <f t="shared" si="0"/>
        <v>0</v>
      </c>
      <c r="AJ8" s="39">
        <f t="shared" si="0"/>
        <v>0</v>
      </c>
      <c r="AK8" s="39">
        <f t="shared" ref="AK8:BB8" si="1">SUM(AK5:AK7)</f>
        <v>0</v>
      </c>
      <c r="AL8" s="40">
        <f t="shared" si="1"/>
        <v>0</v>
      </c>
      <c r="AM8" s="41">
        <f t="shared" si="1"/>
        <v>0</v>
      </c>
      <c r="AN8" s="42">
        <f t="shared" si="1"/>
        <v>0</v>
      </c>
      <c r="AO8" s="39">
        <f t="shared" si="1"/>
        <v>0</v>
      </c>
      <c r="AP8" s="39">
        <f t="shared" si="1"/>
        <v>0</v>
      </c>
      <c r="AQ8" s="40">
        <f t="shared" si="1"/>
        <v>0</v>
      </c>
      <c r="AR8" s="41">
        <f t="shared" si="1"/>
        <v>0</v>
      </c>
      <c r="AS8" s="42">
        <f t="shared" si="1"/>
        <v>0</v>
      </c>
      <c r="AT8" s="39">
        <f t="shared" si="1"/>
        <v>0</v>
      </c>
      <c r="AU8" s="39">
        <f t="shared" si="1"/>
        <v>0</v>
      </c>
      <c r="AV8" s="40">
        <f t="shared" si="1"/>
        <v>0</v>
      </c>
      <c r="AW8" s="41">
        <f t="shared" si="1"/>
        <v>0</v>
      </c>
      <c r="AX8" s="42">
        <f t="shared" si="1"/>
        <v>0</v>
      </c>
      <c r="AY8" s="39">
        <f t="shared" si="1"/>
        <v>0</v>
      </c>
      <c r="AZ8" s="39">
        <f t="shared" si="1"/>
        <v>0</v>
      </c>
      <c r="BA8" s="40">
        <f t="shared" si="1"/>
        <v>0</v>
      </c>
      <c r="BB8" s="41">
        <f t="shared" si="1"/>
        <v>0</v>
      </c>
    </row>
    <row r="9" spans="1:54" ht="80.099999999999994" customHeight="1">
      <c r="A9" s="547" t="s">
        <v>53</v>
      </c>
      <c r="B9" s="43">
        <v>6</v>
      </c>
      <c r="C9" s="44" t="s">
        <v>54</v>
      </c>
      <c r="D9" s="44" t="s">
        <v>55</v>
      </c>
      <c r="E9" s="549"/>
      <c r="F9" s="550"/>
      <c r="G9" s="550"/>
      <c r="H9" s="551"/>
      <c r="I9" s="22">
        <f>'Synthèse consos annuelles'!F6*'Facteurs d''émissions'!L8</f>
        <v>16.352042699999998</v>
      </c>
      <c r="J9" s="549"/>
      <c r="K9" s="550"/>
      <c r="L9" s="550"/>
      <c r="M9" s="551"/>
      <c r="N9" s="22">
        <f>'Synthèse consos annuelles'!G6*'Facteurs d''émissions'!U8</f>
        <v>15.409363128878502</v>
      </c>
      <c r="O9" s="549"/>
      <c r="P9" s="550"/>
      <c r="Q9" s="550"/>
      <c r="R9" s="551"/>
      <c r="S9" s="22">
        <f>'Synthèse consos annuelles'!H6*'Facteurs d''émissions'!AD8</f>
        <v>0.11786579999999999</v>
      </c>
      <c r="T9" s="536"/>
      <c r="U9" s="552"/>
      <c r="V9" s="550"/>
      <c r="W9" s="551"/>
      <c r="X9" s="22">
        <f>'Synthèse consos annuelles'!I6*'Facteurs d''émissions'!AM8</f>
        <v>0</v>
      </c>
      <c r="Y9" s="536"/>
      <c r="Z9" s="552"/>
      <c r="AA9" s="550"/>
      <c r="AB9" s="551"/>
      <c r="AC9" s="22">
        <f>'Synthèse consos annuelles'!J6*'Facteurs d''émissions'!AV8</f>
        <v>0</v>
      </c>
      <c r="AD9" s="518"/>
      <c r="AE9" s="519"/>
      <c r="AF9" s="520"/>
      <c r="AG9" s="521"/>
      <c r="AH9" s="22">
        <f>'Synthèse consos annuelles'!K6*'Facteurs d''émissions'!BE8</f>
        <v>0</v>
      </c>
      <c r="AI9" s="518"/>
      <c r="AJ9" s="519"/>
      <c r="AK9" s="520"/>
      <c r="AL9" s="521"/>
      <c r="AM9" s="22">
        <f>'Synthèse consos annuelles'!L6*'Facteurs d''émissions'!BN8</f>
        <v>0</v>
      </c>
      <c r="AN9" s="518"/>
      <c r="AO9" s="519"/>
      <c r="AP9" s="520"/>
      <c r="AQ9" s="521"/>
      <c r="AR9" s="22">
        <f>'Synthèse consos annuelles'!M6*'Facteurs d''émissions'!BW8</f>
        <v>0</v>
      </c>
      <c r="AS9" s="518"/>
      <c r="AT9" s="519"/>
      <c r="AU9" s="520"/>
      <c r="AV9" s="521"/>
      <c r="AW9" s="22">
        <f>'Synthèse consos annuelles'!N6*'Facteurs d''émissions'!CF8</f>
        <v>0</v>
      </c>
      <c r="AX9" s="518"/>
      <c r="AY9" s="519"/>
      <c r="AZ9" s="520"/>
      <c r="BA9" s="521"/>
      <c r="BB9" s="22">
        <f>'Synthèse consos annuelles'!O6*'Facteurs d''émissions'!CO8</f>
        <v>0</v>
      </c>
    </row>
    <row r="10" spans="1:54" ht="80.099999999999994" customHeight="1">
      <c r="A10" s="542"/>
      <c r="B10" s="45">
        <v>7</v>
      </c>
      <c r="C10" s="46" t="s">
        <v>56</v>
      </c>
      <c r="D10" s="46" t="s">
        <v>57</v>
      </c>
      <c r="E10" s="527"/>
      <c r="F10" s="528"/>
      <c r="G10" s="528"/>
      <c r="H10" s="529"/>
      <c r="I10" s="35">
        <f>'Synthèse consos annuelles'!F7*'Facteurs d''émissions'!L9</f>
        <v>68.216935481290278</v>
      </c>
      <c r="J10" s="527"/>
      <c r="K10" s="528"/>
      <c r="L10" s="528"/>
      <c r="M10" s="529"/>
      <c r="N10" s="35">
        <f>'Synthèse consos annuelles'!G7*'Facteurs d''émissions'!U9</f>
        <v>83.234885912404323</v>
      </c>
      <c r="O10" s="527"/>
      <c r="P10" s="528"/>
      <c r="Q10" s="528"/>
      <c r="R10" s="529"/>
      <c r="S10" s="35">
        <f>'Synthèse consos annuelles'!H7*'Facteurs d''émissions'!AD9</f>
        <v>0</v>
      </c>
      <c r="T10" s="553"/>
      <c r="U10" s="531"/>
      <c r="V10" s="528"/>
      <c r="W10" s="529"/>
      <c r="X10" s="35">
        <f>'Synthèse consos annuelles'!I7*'Facteurs d''émissions'!AM9</f>
        <v>0</v>
      </c>
      <c r="Y10" s="553"/>
      <c r="Z10" s="531"/>
      <c r="AA10" s="528"/>
      <c r="AB10" s="529"/>
      <c r="AC10" s="35">
        <f>'Synthèse consos annuelles'!J7*'Facteurs d''émissions'!AV9</f>
        <v>0</v>
      </c>
      <c r="AD10" s="522"/>
      <c r="AE10" s="523"/>
      <c r="AF10" s="524"/>
      <c r="AG10" s="525"/>
      <c r="AH10" s="35">
        <f>'Synthèse consos annuelles'!K7*'Facteurs d''émissions'!BE9</f>
        <v>0</v>
      </c>
      <c r="AI10" s="522"/>
      <c r="AJ10" s="523"/>
      <c r="AK10" s="524"/>
      <c r="AL10" s="525"/>
      <c r="AM10" s="35">
        <f>'Synthèse consos annuelles'!L7*'Facteurs d''émissions'!BN9</f>
        <v>0</v>
      </c>
      <c r="AN10" s="522"/>
      <c r="AO10" s="523"/>
      <c r="AP10" s="524"/>
      <c r="AQ10" s="525"/>
      <c r="AR10" s="35">
        <f>'Synthèse consos annuelles'!M7*'Facteurs d''émissions'!BW9</f>
        <v>0</v>
      </c>
      <c r="AS10" s="522"/>
      <c r="AT10" s="523"/>
      <c r="AU10" s="524"/>
      <c r="AV10" s="525"/>
      <c r="AW10" s="35">
        <f>'Synthèse consos annuelles'!N7*'Facteurs d''émissions'!CF9</f>
        <v>0</v>
      </c>
      <c r="AX10" s="522"/>
      <c r="AY10" s="523"/>
      <c r="AZ10" s="524"/>
      <c r="BA10" s="525"/>
      <c r="BB10" s="35">
        <f>'Synthèse consos annuelles'!O7*'Facteurs d''émissions'!CO9</f>
        <v>0</v>
      </c>
    </row>
    <row r="11" spans="1:54" ht="20.7" customHeight="1">
      <c r="A11" s="36"/>
      <c r="B11" s="562" t="s">
        <v>58</v>
      </c>
      <c r="C11" s="541"/>
      <c r="D11" s="542"/>
      <c r="E11" s="527"/>
      <c r="F11" s="528"/>
      <c r="G11" s="528"/>
      <c r="H11" s="529"/>
      <c r="I11" s="41">
        <f>SUM(I9:I10)</f>
        <v>84.568978181290277</v>
      </c>
      <c r="J11" s="527"/>
      <c r="K11" s="528"/>
      <c r="L11" s="528"/>
      <c r="M11" s="529"/>
      <c r="N11" s="41">
        <f>SUM(N9:N10)</f>
        <v>98.644249041282819</v>
      </c>
      <c r="O11" s="527"/>
      <c r="P11" s="528"/>
      <c r="Q11" s="528"/>
      <c r="R11" s="529"/>
      <c r="S11" s="41">
        <f>SUM(S9:S10)</f>
        <v>0.11786579999999999</v>
      </c>
      <c r="T11" s="526"/>
      <c r="U11" s="527"/>
      <c r="V11" s="528"/>
      <c r="W11" s="529"/>
      <c r="X11" s="41">
        <f>SUM(X9:X10)</f>
        <v>0</v>
      </c>
      <c r="Y11" s="526"/>
      <c r="Z11" s="527"/>
      <c r="AA11" s="528"/>
      <c r="AB11" s="529"/>
      <c r="AC11" s="41">
        <f>SUM(AC9:AC10)</f>
        <v>0</v>
      </c>
      <c r="AD11" s="526"/>
      <c r="AE11" s="527"/>
      <c r="AF11" s="528"/>
      <c r="AG11" s="529"/>
      <c r="AH11" s="41">
        <f>SUM(AH9:AH10)</f>
        <v>0</v>
      </c>
      <c r="AI11" s="526"/>
      <c r="AJ11" s="527"/>
      <c r="AK11" s="528"/>
      <c r="AL11" s="529"/>
      <c r="AM11" s="41">
        <f>SUM(AM9:AM10)</f>
        <v>0</v>
      </c>
      <c r="AN11" s="526"/>
      <c r="AO11" s="527"/>
      <c r="AP11" s="528"/>
      <c r="AQ11" s="529"/>
      <c r="AR11" s="41">
        <f>SUM(AR9:AR10)</f>
        <v>0</v>
      </c>
      <c r="AS11" s="526"/>
      <c r="AT11" s="527"/>
      <c r="AU11" s="528"/>
      <c r="AV11" s="529"/>
      <c r="AW11" s="41">
        <f>SUM(AW9:AW10)</f>
        <v>0</v>
      </c>
      <c r="AX11" s="526"/>
      <c r="AY11" s="527"/>
      <c r="AZ11" s="528"/>
      <c r="BA11" s="529"/>
      <c r="BB11" s="41">
        <f>SUM(BB9:BB10)</f>
        <v>0</v>
      </c>
    </row>
    <row r="12" spans="1:54" ht="31.2" customHeight="1" outlineLevel="1">
      <c r="A12" s="569" t="s">
        <v>59</v>
      </c>
      <c r="B12" s="566">
        <v>8</v>
      </c>
      <c r="C12" s="564" t="s">
        <v>60</v>
      </c>
      <c r="D12" s="355" t="s">
        <v>57</v>
      </c>
      <c r="E12" s="527"/>
      <c r="F12" s="528"/>
      <c r="G12" s="528"/>
      <c r="H12" s="529"/>
      <c r="I12" s="47">
        <f>'Synthèse consos annuelles'!F8*'Facteurs d''émissions'!L10</f>
        <v>14.410323057290313</v>
      </c>
      <c r="J12" s="527"/>
      <c r="K12" s="528"/>
      <c r="L12" s="528"/>
      <c r="M12" s="529"/>
      <c r="N12" s="47">
        <f>'Synthèse consos annuelles'!G8*'Facteurs d''émissions'!U10</f>
        <v>17.582754006348132</v>
      </c>
      <c r="O12" s="527"/>
      <c r="P12" s="528"/>
      <c r="Q12" s="528"/>
      <c r="R12" s="529"/>
      <c r="S12" s="47">
        <f>'Synthèse consos annuelles'!H8*'Facteurs d''émissions'!AD10</f>
        <v>0</v>
      </c>
      <c r="T12" s="530"/>
      <c r="U12" s="531"/>
      <c r="V12" s="528"/>
      <c r="W12" s="529"/>
      <c r="X12" s="47">
        <f>'Synthèse consos annuelles'!I8*'Facteurs d''émissions'!AM10</f>
        <v>0</v>
      </c>
      <c r="Y12" s="530"/>
      <c r="Z12" s="531"/>
      <c r="AA12" s="528"/>
      <c r="AB12" s="529"/>
      <c r="AC12" s="47">
        <f>'Synthèse consos annuelles'!J8*'Facteurs d''émissions'!AV10</f>
        <v>0</v>
      </c>
      <c r="AD12" s="530"/>
      <c r="AE12" s="531"/>
      <c r="AF12" s="528"/>
      <c r="AG12" s="529"/>
      <c r="AH12" s="47">
        <f>'Synthèse consos annuelles'!K8*'Facteurs d''émissions'!BE10</f>
        <v>0</v>
      </c>
      <c r="AI12" s="530"/>
      <c r="AJ12" s="531"/>
      <c r="AK12" s="528"/>
      <c r="AL12" s="529"/>
      <c r="AM12" s="47">
        <f>'Synthèse consos annuelles'!L8*'Facteurs d''émissions'!BN10</f>
        <v>0</v>
      </c>
      <c r="AN12" s="530"/>
      <c r="AO12" s="531"/>
      <c r="AP12" s="528"/>
      <c r="AQ12" s="529"/>
      <c r="AR12" s="47">
        <f>'Synthèse consos annuelles'!M8*'Facteurs d''émissions'!BW10</f>
        <v>0</v>
      </c>
      <c r="AS12" s="530"/>
      <c r="AT12" s="531"/>
      <c r="AU12" s="528"/>
      <c r="AV12" s="529"/>
      <c r="AW12" s="47">
        <f>'Synthèse consos annuelles'!N8*'Facteurs d''émissions'!CF10</f>
        <v>0</v>
      </c>
      <c r="AX12" s="530"/>
      <c r="AY12" s="531"/>
      <c r="AZ12" s="528"/>
      <c r="BA12" s="529"/>
      <c r="BB12" s="47">
        <f>'Synthèse consos annuelles'!O8+'Facteurs d''émissions'!CQ10</f>
        <v>0</v>
      </c>
    </row>
    <row r="13" spans="1:54" ht="31.2" customHeight="1" outlineLevel="1">
      <c r="A13" s="542"/>
      <c r="B13" s="565"/>
      <c r="C13" s="565"/>
      <c r="D13" s="356" t="s">
        <v>49</v>
      </c>
      <c r="E13" s="527"/>
      <c r="F13" s="528"/>
      <c r="G13" s="528"/>
      <c r="H13" s="529"/>
      <c r="I13" s="48">
        <f>'Synthèse consos annuelles'!F9*'Facteurs d''émissions'!L11</f>
        <v>0</v>
      </c>
      <c r="J13" s="527"/>
      <c r="K13" s="528"/>
      <c r="L13" s="528"/>
      <c r="M13" s="529"/>
      <c r="N13" s="48">
        <f>'Synthèse consos annuelles'!G9*'Facteurs d''émissions'!U11</f>
        <v>3.1462928460000006</v>
      </c>
      <c r="O13" s="527"/>
      <c r="P13" s="528"/>
      <c r="Q13" s="528"/>
      <c r="R13" s="529"/>
      <c r="S13" s="48">
        <f>'Synthèse consos annuelles'!H9*'Facteurs d''émissions'!AD11</f>
        <v>3.0197296800000002</v>
      </c>
      <c r="T13" s="532"/>
      <c r="U13" s="531"/>
      <c r="V13" s="528"/>
      <c r="W13" s="529"/>
      <c r="X13" s="48">
        <f>'Synthèse consos annuelles'!I9*'Facteurs d''émissions'!AM11</f>
        <v>0</v>
      </c>
      <c r="Y13" s="532"/>
      <c r="Z13" s="531"/>
      <c r="AA13" s="528"/>
      <c r="AB13" s="529"/>
      <c r="AC13" s="48">
        <f>'Synthèse consos annuelles'!J9*'Facteurs d''émissions'!AV11</f>
        <v>0</v>
      </c>
      <c r="AD13" s="532"/>
      <c r="AE13" s="531"/>
      <c r="AF13" s="528"/>
      <c r="AG13" s="529"/>
      <c r="AH13" s="48">
        <f>'Synthèse consos annuelles'!K9*'Facteurs d''émissions'!BE11</f>
        <v>0</v>
      </c>
      <c r="AI13" s="532"/>
      <c r="AJ13" s="531"/>
      <c r="AK13" s="528"/>
      <c r="AL13" s="529"/>
      <c r="AM13" s="48">
        <f>'Synthèse consos annuelles'!L9*'Facteurs d''émissions'!BN11</f>
        <v>0</v>
      </c>
      <c r="AN13" s="532"/>
      <c r="AO13" s="531"/>
      <c r="AP13" s="528"/>
      <c r="AQ13" s="529"/>
      <c r="AR13" s="48">
        <f>'Synthèse consos annuelles'!M9*'Facteurs d''émissions'!BW11</f>
        <v>0</v>
      </c>
      <c r="AS13" s="532"/>
      <c r="AT13" s="531"/>
      <c r="AU13" s="528"/>
      <c r="AV13" s="529"/>
      <c r="AW13" s="48">
        <f>'Synthèse consos annuelles'!N9*'Facteurs d''émissions'!CF11</f>
        <v>0</v>
      </c>
      <c r="AX13" s="532"/>
      <c r="AY13" s="531"/>
      <c r="AZ13" s="528"/>
      <c r="BA13" s="529"/>
      <c r="BB13" s="48">
        <f>'Synthèse consos annuelles'!O9+'Facteurs d''émissions'!CQ11</f>
        <v>0</v>
      </c>
    </row>
    <row r="14" spans="1:54" ht="31.2" customHeight="1" outlineLevel="1">
      <c r="A14" s="542"/>
      <c r="B14" s="565"/>
      <c r="C14" s="565"/>
      <c r="D14" s="356" t="s">
        <v>55</v>
      </c>
      <c r="E14" s="527"/>
      <c r="F14" s="528"/>
      <c r="G14" s="528"/>
      <c r="H14" s="529"/>
      <c r="I14" s="49">
        <f>'Synthèse consos annuelles'!F10*'Facteurs d''émissions'!L12</f>
        <v>9.2177538000000006</v>
      </c>
      <c r="J14" s="527"/>
      <c r="K14" s="528"/>
      <c r="L14" s="528"/>
      <c r="M14" s="529"/>
      <c r="N14" s="49">
        <f>'Synthèse consos annuelles'!G10*'Facteurs d''émissions'!U12</f>
        <v>8.8573504599065433</v>
      </c>
      <c r="O14" s="527"/>
      <c r="P14" s="528"/>
      <c r="Q14" s="528"/>
      <c r="R14" s="529"/>
      <c r="S14" s="49">
        <f>'Synthèse consos annuelles'!H10*'Facteurs d''émissions'!AD12</f>
        <v>6.1889399999999997E-2</v>
      </c>
      <c r="T14" s="532"/>
      <c r="U14" s="531"/>
      <c r="V14" s="528"/>
      <c r="W14" s="529"/>
      <c r="X14" s="49">
        <f>'Synthèse consos annuelles'!I10*'Facteurs d''émissions'!AM12</f>
        <v>0</v>
      </c>
      <c r="Y14" s="532"/>
      <c r="Z14" s="531"/>
      <c r="AA14" s="528"/>
      <c r="AB14" s="529"/>
      <c r="AC14" s="49">
        <f>'Synthèse consos annuelles'!J10*'Facteurs d''émissions'!AV12</f>
        <v>0</v>
      </c>
      <c r="AD14" s="532"/>
      <c r="AE14" s="531"/>
      <c r="AF14" s="528"/>
      <c r="AG14" s="529"/>
      <c r="AH14" s="49">
        <f>'Synthèse consos annuelles'!K10*'Facteurs d''émissions'!BE12</f>
        <v>0</v>
      </c>
      <c r="AI14" s="532"/>
      <c r="AJ14" s="531"/>
      <c r="AK14" s="528"/>
      <c r="AL14" s="529"/>
      <c r="AM14" s="49">
        <f>'Synthèse consos annuelles'!L10*'Facteurs d''émissions'!BN12</f>
        <v>0</v>
      </c>
      <c r="AN14" s="532"/>
      <c r="AO14" s="531"/>
      <c r="AP14" s="528"/>
      <c r="AQ14" s="529"/>
      <c r="AR14" s="49">
        <f>'Synthèse consos annuelles'!M10*'Facteurs d''émissions'!BW12</f>
        <v>0</v>
      </c>
      <c r="AS14" s="532"/>
      <c r="AT14" s="531"/>
      <c r="AU14" s="528"/>
      <c r="AV14" s="529"/>
      <c r="AW14" s="49">
        <f>'Synthèse consos annuelles'!N10*'Facteurs d''émissions'!CF12</f>
        <v>0</v>
      </c>
      <c r="AX14" s="532"/>
      <c r="AY14" s="531"/>
      <c r="AZ14" s="528"/>
      <c r="BA14" s="529"/>
      <c r="BB14" s="49">
        <f>'Synthèse consos annuelles'!O10+'Facteurs d''émissions'!CQ12</f>
        <v>0</v>
      </c>
    </row>
    <row r="15" spans="1:54" ht="65.099999999999994" customHeight="1">
      <c r="A15" s="570"/>
      <c r="B15" s="565"/>
      <c r="C15" s="565"/>
      <c r="D15" s="50" t="s">
        <v>61</v>
      </c>
      <c r="E15" s="527"/>
      <c r="F15" s="528"/>
      <c r="G15" s="528"/>
      <c r="H15" s="529"/>
      <c r="I15" s="29">
        <f>SUM(I12:I14)</f>
        <v>23.628076857290313</v>
      </c>
      <c r="J15" s="527"/>
      <c r="K15" s="528"/>
      <c r="L15" s="528"/>
      <c r="M15" s="529"/>
      <c r="N15" s="29">
        <f>SUM(N12:N14)</f>
        <v>29.586397312254675</v>
      </c>
      <c r="O15" s="527"/>
      <c r="P15" s="528"/>
      <c r="Q15" s="528"/>
      <c r="R15" s="529"/>
      <c r="S15" s="29">
        <f>SUM(S12:S14)</f>
        <v>3.0816190800000003</v>
      </c>
      <c r="T15" s="532"/>
      <c r="U15" s="531"/>
      <c r="V15" s="528"/>
      <c r="W15" s="529"/>
      <c r="X15" s="29">
        <f>SUM(X12:X14)</f>
        <v>0</v>
      </c>
      <c r="Y15" s="532"/>
      <c r="Z15" s="531"/>
      <c r="AA15" s="528"/>
      <c r="AB15" s="529"/>
      <c r="AC15" s="29">
        <f>SUM(AC12:AC14)</f>
        <v>0</v>
      </c>
      <c r="AD15" s="532"/>
      <c r="AE15" s="531"/>
      <c r="AF15" s="528"/>
      <c r="AG15" s="529"/>
      <c r="AH15" s="29">
        <f>SUM(AH12:AH14)</f>
        <v>0</v>
      </c>
      <c r="AI15" s="532"/>
      <c r="AJ15" s="531"/>
      <c r="AK15" s="528"/>
      <c r="AL15" s="529"/>
      <c r="AM15" s="29">
        <f>SUM(AM12:AM14)</f>
        <v>0</v>
      </c>
      <c r="AN15" s="532"/>
      <c r="AO15" s="531"/>
      <c r="AP15" s="528"/>
      <c r="AQ15" s="529"/>
      <c r="AR15" s="29">
        <f>SUM(AR12:AR14)</f>
        <v>0</v>
      </c>
      <c r="AS15" s="532"/>
      <c r="AT15" s="531"/>
      <c r="AU15" s="528"/>
      <c r="AV15" s="529"/>
      <c r="AW15" s="29">
        <f>SUM(AW12:AW14)</f>
        <v>0</v>
      </c>
      <c r="AX15" s="532"/>
      <c r="AY15" s="531"/>
      <c r="AZ15" s="528"/>
      <c r="BA15" s="529"/>
      <c r="BB15" s="29">
        <f>SUM(BB12:BB14)</f>
        <v>0</v>
      </c>
    </row>
    <row r="16" spans="1:54" ht="31.2" customHeight="1" outlineLevel="1">
      <c r="A16" s="571"/>
      <c r="B16" s="568">
        <v>9</v>
      </c>
      <c r="C16" s="567" t="s">
        <v>62</v>
      </c>
      <c r="D16" s="356" t="s">
        <v>63</v>
      </c>
      <c r="E16" s="527"/>
      <c r="F16" s="528"/>
      <c r="G16" s="528"/>
      <c r="H16" s="529"/>
      <c r="I16" s="51">
        <f>'Synthèse consos annuelles'!F11*'Facteurs d''émissions'!$L$13</f>
        <v>7.2538944168000024</v>
      </c>
      <c r="J16" s="527"/>
      <c r="K16" s="528"/>
      <c r="L16" s="528"/>
      <c r="M16" s="529"/>
      <c r="N16" s="51">
        <f>'Synthèse consos annuelles'!G11*'Facteurs d''émissions'!$U$13</f>
        <v>14.227877416800002</v>
      </c>
      <c r="O16" s="527"/>
      <c r="P16" s="528"/>
      <c r="Q16" s="528"/>
      <c r="R16" s="529"/>
      <c r="S16" s="51">
        <f>'Synthèse consos annuelles'!H11*'Facteurs d''émissions'!$AD$13</f>
        <v>7.2538944168000024</v>
      </c>
      <c r="T16" s="532"/>
      <c r="U16" s="531"/>
      <c r="V16" s="528"/>
      <c r="W16" s="529"/>
      <c r="X16" s="51">
        <f>'Synthèse consos annuelles'!I11*'Facteurs d''émissions'!$AM$13</f>
        <v>0</v>
      </c>
      <c r="Y16" s="532"/>
      <c r="Z16" s="531"/>
      <c r="AA16" s="528"/>
      <c r="AB16" s="529"/>
      <c r="AC16" s="51">
        <f>'Synthèse consos annuelles'!J11*'Facteurs d''émissions'!$AV$13</f>
        <v>0</v>
      </c>
      <c r="AD16" s="532"/>
      <c r="AE16" s="531"/>
      <c r="AF16" s="528"/>
      <c r="AG16" s="529"/>
      <c r="AH16" s="51">
        <f>'Synthèse consos annuelles'!K11*'Facteurs d''émissions'!$BE$13</f>
        <v>0</v>
      </c>
      <c r="AI16" s="532"/>
      <c r="AJ16" s="531"/>
      <c r="AK16" s="528"/>
      <c r="AL16" s="529"/>
      <c r="AM16" s="51">
        <f>'Synthèse consos annuelles'!L11*'Facteurs d''émissions'!$BP$13</f>
        <v>0</v>
      </c>
      <c r="AN16" s="532"/>
      <c r="AO16" s="531"/>
      <c r="AP16" s="528"/>
      <c r="AQ16" s="529"/>
      <c r="AR16" s="51">
        <f>'Synthèse consos annuelles'!M11*'Facteurs d''émissions'!$BW$13</f>
        <v>0</v>
      </c>
      <c r="AS16" s="532"/>
      <c r="AT16" s="531"/>
      <c r="AU16" s="528"/>
      <c r="AV16" s="529"/>
      <c r="AW16" s="51">
        <f>'Synthèse consos annuelles'!N11*'Facteurs d''émissions'!$CF$13</f>
        <v>0</v>
      </c>
      <c r="AX16" s="532"/>
      <c r="AY16" s="531"/>
      <c r="AZ16" s="528"/>
      <c r="BA16" s="529"/>
      <c r="BB16" s="51">
        <f>'Synthèse consos annuelles'!O11*'Facteurs d''émissions'!$CO$13</f>
        <v>0</v>
      </c>
    </row>
    <row r="17" spans="1:54" ht="31.2" customHeight="1" outlineLevel="1">
      <c r="A17" s="571"/>
      <c r="B17" s="565"/>
      <c r="C17" s="565"/>
      <c r="D17" s="356" t="s">
        <v>64</v>
      </c>
      <c r="E17" s="527"/>
      <c r="F17" s="528"/>
      <c r="G17" s="528"/>
      <c r="H17" s="529"/>
      <c r="I17" s="49">
        <f>'Synthèse consos annuelles'!F12*'Facteurs d''émissions'!$L$13</f>
        <v>0</v>
      </c>
      <c r="J17" s="527"/>
      <c r="K17" s="528"/>
      <c r="L17" s="528"/>
      <c r="M17" s="529"/>
      <c r="N17" s="49">
        <f>'Synthèse consos annuelles'!G12*'Facteurs d''émissions'!$U$13</f>
        <v>49.747859999999996</v>
      </c>
      <c r="O17" s="527"/>
      <c r="P17" s="528"/>
      <c r="Q17" s="528"/>
      <c r="R17" s="529"/>
      <c r="S17" s="49">
        <f>'Synthèse consos annuelles'!H12*'Facteurs d''émissions'!$AD$13</f>
        <v>0</v>
      </c>
      <c r="T17" s="532"/>
      <c r="U17" s="531"/>
      <c r="V17" s="528"/>
      <c r="W17" s="529"/>
      <c r="X17" s="49">
        <f>'Synthèse consos annuelles'!I12*'Facteurs d''émissions'!$AM$13</f>
        <v>0</v>
      </c>
      <c r="Y17" s="532"/>
      <c r="Z17" s="531"/>
      <c r="AA17" s="528"/>
      <c r="AB17" s="529"/>
      <c r="AC17" s="49">
        <f>'Synthèse consos annuelles'!J12*'Facteurs d''émissions'!$AV$13</f>
        <v>0</v>
      </c>
      <c r="AD17" s="532"/>
      <c r="AE17" s="531"/>
      <c r="AF17" s="528"/>
      <c r="AG17" s="529"/>
      <c r="AH17" s="49">
        <f>'Synthèse consos annuelles'!K12*'Facteurs d''émissions'!$BE$13</f>
        <v>0</v>
      </c>
      <c r="AI17" s="532"/>
      <c r="AJ17" s="531"/>
      <c r="AK17" s="528"/>
      <c r="AL17" s="529"/>
      <c r="AM17" s="49">
        <f>'Synthèse consos annuelles'!L12*'Facteurs d''émissions'!$BP$13</f>
        <v>0</v>
      </c>
      <c r="AN17" s="532"/>
      <c r="AO17" s="531"/>
      <c r="AP17" s="528"/>
      <c r="AQ17" s="529"/>
      <c r="AR17" s="49">
        <f>'Synthèse consos annuelles'!M12*'Facteurs d''émissions'!$BW$13</f>
        <v>0</v>
      </c>
      <c r="AS17" s="532"/>
      <c r="AT17" s="531"/>
      <c r="AU17" s="528"/>
      <c r="AV17" s="529"/>
      <c r="AW17" s="49">
        <f>'Synthèse consos annuelles'!N12*'Facteurs d''émissions'!$CF$13</f>
        <v>0</v>
      </c>
      <c r="AX17" s="532"/>
      <c r="AY17" s="531"/>
      <c r="AZ17" s="528"/>
      <c r="BA17" s="529"/>
      <c r="BB17" s="49">
        <f>'Synthèse consos annuelles'!O12*'Facteurs d''émissions'!$CO$13</f>
        <v>0</v>
      </c>
    </row>
    <row r="18" spans="1:54" ht="65.099999999999994" customHeight="1">
      <c r="A18" s="571"/>
      <c r="B18" s="565"/>
      <c r="C18" s="565"/>
      <c r="D18" s="50" t="s">
        <v>65</v>
      </c>
      <c r="E18" s="527"/>
      <c r="F18" s="528"/>
      <c r="G18" s="528"/>
      <c r="H18" s="529"/>
      <c r="I18" s="29">
        <f>SUM(I16:I17)</f>
        <v>7.2538944168000024</v>
      </c>
      <c r="J18" s="527"/>
      <c r="K18" s="528"/>
      <c r="L18" s="528"/>
      <c r="M18" s="529"/>
      <c r="N18" s="29">
        <f>SUM(N16:N17)</f>
        <v>63.975737416800001</v>
      </c>
      <c r="O18" s="527"/>
      <c r="P18" s="528"/>
      <c r="Q18" s="528"/>
      <c r="R18" s="529"/>
      <c r="S18" s="29">
        <f>SUM(S16:S17)</f>
        <v>7.2538944168000024</v>
      </c>
      <c r="T18" s="532"/>
      <c r="U18" s="531"/>
      <c r="V18" s="528"/>
      <c r="W18" s="529"/>
      <c r="X18" s="29">
        <f>SUM(X16:X17)</f>
        <v>0</v>
      </c>
      <c r="Y18" s="532"/>
      <c r="Z18" s="531"/>
      <c r="AA18" s="528"/>
      <c r="AB18" s="529"/>
      <c r="AC18" s="29">
        <f>SUM(AC16:AC17)</f>
        <v>0</v>
      </c>
      <c r="AD18" s="532"/>
      <c r="AE18" s="531"/>
      <c r="AF18" s="528"/>
      <c r="AG18" s="529"/>
      <c r="AH18" s="29">
        <f>SUM(AH16:AH17)</f>
        <v>0</v>
      </c>
      <c r="AI18" s="532"/>
      <c r="AJ18" s="531"/>
      <c r="AK18" s="528"/>
      <c r="AL18" s="529"/>
      <c r="AM18" s="29">
        <f>SUM(AM16:AM17)</f>
        <v>0</v>
      </c>
      <c r="AN18" s="532"/>
      <c r="AO18" s="531"/>
      <c r="AP18" s="528"/>
      <c r="AQ18" s="529"/>
      <c r="AR18" s="29">
        <f>SUM(AR16:AR17)</f>
        <v>0</v>
      </c>
      <c r="AS18" s="532"/>
      <c r="AT18" s="531"/>
      <c r="AU18" s="528"/>
      <c r="AV18" s="529"/>
      <c r="AW18" s="29">
        <f>SUM(AW16:AW17)</f>
        <v>0</v>
      </c>
      <c r="AX18" s="532"/>
      <c r="AY18" s="531"/>
      <c r="AZ18" s="528"/>
      <c r="BA18" s="529"/>
      <c r="BB18" s="29">
        <f>SUM(BB16:BB17)</f>
        <v>0</v>
      </c>
    </row>
    <row r="19" spans="1:54" ht="31.2" customHeight="1">
      <c r="A19" s="571"/>
      <c r="B19" s="357">
        <v>10</v>
      </c>
      <c r="C19" s="356" t="s">
        <v>66</v>
      </c>
      <c r="D19" s="356" t="s">
        <v>67</v>
      </c>
      <c r="E19" s="527"/>
      <c r="F19" s="528"/>
      <c r="G19" s="528"/>
      <c r="H19" s="529"/>
      <c r="I19" s="29">
        <f>SUMPRODUCT('Synthèse consos annuelles'!F13:F17,'Facteurs d''émissions'!L14:L18)</f>
        <v>4.306</v>
      </c>
      <c r="J19" s="527"/>
      <c r="K19" s="528"/>
      <c r="L19" s="528"/>
      <c r="M19" s="529"/>
      <c r="N19" s="29">
        <f>SUMPRODUCT('Synthèse consos annuelles'!G13:G17,'Facteurs d''émissions'!U14:U18)</f>
        <v>21.693999999999999</v>
      </c>
      <c r="O19" s="527"/>
      <c r="P19" s="528"/>
      <c r="Q19" s="528"/>
      <c r="R19" s="529"/>
      <c r="S19" s="29">
        <f>SUMPRODUCT('Synthèse consos annuelles'!H13:H17,'Facteurs d''émissions'!AD14:AD18)</f>
        <v>16.457999999999998</v>
      </c>
      <c r="T19" s="532"/>
      <c r="U19" s="531"/>
      <c r="V19" s="528"/>
      <c r="W19" s="529"/>
      <c r="X19" s="29">
        <f>SUMPRODUCT('Synthèse consos annuelles'!I13:I17,'Facteurs d''émissions'!AM14:AM18)</f>
        <v>4.306</v>
      </c>
      <c r="Y19" s="532"/>
      <c r="Z19" s="531"/>
      <c r="AA19" s="528"/>
      <c r="AB19" s="529"/>
      <c r="AC19" s="29">
        <f>SUMPRODUCT('Synthèse consos annuelles'!J13:J17,'Facteurs d''émissions'!AV14:AV18)</f>
        <v>0</v>
      </c>
      <c r="AD19" s="532"/>
      <c r="AE19" s="531"/>
      <c r="AF19" s="528"/>
      <c r="AG19" s="529"/>
      <c r="AH19" s="29">
        <f>SUMPRODUCT('Synthèse consos annuelles'!K13:K17,'Facteurs d''émissions'!BE14:BE18)</f>
        <v>0</v>
      </c>
      <c r="AI19" s="532"/>
      <c r="AJ19" s="531"/>
      <c r="AK19" s="528"/>
      <c r="AL19" s="529"/>
      <c r="AM19" s="29">
        <f>SUMPRODUCT('Synthèse consos annuelles'!L13:L17,'Facteurs d''émissions'!BN14:BN18)</f>
        <v>0</v>
      </c>
      <c r="AN19" s="532"/>
      <c r="AO19" s="531"/>
      <c r="AP19" s="528"/>
      <c r="AQ19" s="529"/>
      <c r="AR19" s="29">
        <f>SUMPRODUCT('Synthèse consos annuelles'!M13:M17,'Facteurs d''émissions'!BW14:BW18)</f>
        <v>0</v>
      </c>
      <c r="AS19" s="532"/>
      <c r="AT19" s="531"/>
      <c r="AU19" s="528"/>
      <c r="AV19" s="529"/>
      <c r="AW19" s="29">
        <f>SUMPRODUCT('Synthèse consos annuelles'!N13:N17,'Facteurs d''émissions'!CF14:CF18)</f>
        <v>0</v>
      </c>
      <c r="AX19" s="532"/>
      <c r="AY19" s="531"/>
      <c r="AZ19" s="528"/>
      <c r="BA19" s="529"/>
      <c r="BB19" s="29">
        <f>SUMPRODUCT('Synthèse consos annuelles'!O13:O17,'Facteurs d''émissions'!CQ14:CQ18)</f>
        <v>0</v>
      </c>
    </row>
    <row r="20" spans="1:54" ht="31.2" customHeight="1" outlineLevel="1">
      <c r="A20" s="571"/>
      <c r="B20" s="568">
        <v>13</v>
      </c>
      <c r="C20" s="567" t="s">
        <v>68</v>
      </c>
      <c r="D20" s="356" t="s">
        <v>69</v>
      </c>
      <c r="E20" s="527"/>
      <c r="F20" s="528"/>
      <c r="G20" s="528"/>
      <c r="H20" s="529"/>
      <c r="I20" s="51">
        <f>'Synthèse consos annuelles'!F18*'Facteurs d''émissions'!L19</f>
        <v>0</v>
      </c>
      <c r="J20" s="527"/>
      <c r="K20" s="528"/>
      <c r="L20" s="528"/>
      <c r="M20" s="529"/>
      <c r="N20" s="51">
        <f>'Synthèse consos annuelles'!G18*'Facteurs d''émissions'!U19</f>
        <v>37.723040999999995</v>
      </c>
      <c r="O20" s="527"/>
      <c r="P20" s="528"/>
      <c r="Q20" s="528"/>
      <c r="R20" s="529"/>
      <c r="S20" s="51">
        <f>'Synthèse consos annuelles'!H18*'Facteurs d''émissions'!AD19</f>
        <v>0</v>
      </c>
      <c r="T20" s="532"/>
      <c r="U20" s="531"/>
      <c r="V20" s="528"/>
      <c r="W20" s="529"/>
      <c r="X20" s="51">
        <f>'Synthèse consos annuelles'!I18*'Facteurs d''émissions'!AM19</f>
        <v>0</v>
      </c>
      <c r="Y20" s="532"/>
      <c r="Z20" s="531"/>
      <c r="AA20" s="528"/>
      <c r="AB20" s="529"/>
      <c r="AC20" s="51">
        <f>'Synthèse consos annuelles'!J18*'Facteurs d''émissions'!AV19</f>
        <v>0</v>
      </c>
      <c r="AD20" s="532"/>
      <c r="AE20" s="531"/>
      <c r="AF20" s="528"/>
      <c r="AG20" s="529"/>
      <c r="AH20" s="51">
        <f>'Synthèse consos annuelles'!K18*'Facteurs d''émissions'!BE19</f>
        <v>0</v>
      </c>
      <c r="AI20" s="532"/>
      <c r="AJ20" s="531"/>
      <c r="AK20" s="528"/>
      <c r="AL20" s="529"/>
      <c r="AM20" s="51">
        <f>'Synthèse consos annuelles'!L18*'Facteurs d''émissions'!BP19</f>
        <v>0</v>
      </c>
      <c r="AN20" s="532"/>
      <c r="AO20" s="531"/>
      <c r="AP20" s="528"/>
      <c r="AQ20" s="529"/>
      <c r="AR20" s="51">
        <f>'Synthèse consos annuelles'!M18*'Facteurs d''émissions'!BW19</f>
        <v>0</v>
      </c>
      <c r="AS20" s="532"/>
      <c r="AT20" s="531"/>
      <c r="AU20" s="528"/>
      <c r="AV20" s="529"/>
      <c r="AW20" s="51">
        <f>'Synthèse consos annuelles'!N13*'Facteurs d''émissions'!CF19</f>
        <v>0</v>
      </c>
      <c r="AX20" s="532"/>
      <c r="AY20" s="531"/>
      <c r="AZ20" s="528"/>
      <c r="BA20" s="529"/>
      <c r="BB20" s="51">
        <f>'Synthèse consos annuelles'!O18*'Facteurs d''émissions'!CO19</f>
        <v>0</v>
      </c>
    </row>
    <row r="21" spans="1:54" ht="31.2" customHeight="1" outlineLevel="1">
      <c r="A21" s="571"/>
      <c r="B21" s="565"/>
      <c r="C21" s="565"/>
      <c r="D21" s="356" t="s">
        <v>70</v>
      </c>
      <c r="E21" s="527"/>
      <c r="F21" s="528"/>
      <c r="G21" s="528"/>
      <c r="H21" s="529"/>
      <c r="I21" s="48">
        <f>'Synthèse consos annuelles'!F19*'Facteurs d''émissions'!L20</f>
        <v>0</v>
      </c>
      <c r="J21" s="527"/>
      <c r="K21" s="528"/>
      <c r="L21" s="528"/>
      <c r="M21" s="529"/>
      <c r="N21" s="48">
        <f>'Synthèse consos annuelles'!G19*'Facteurs d''émissions'!U20</f>
        <v>489.60430500000001</v>
      </c>
      <c r="O21" s="527"/>
      <c r="P21" s="528"/>
      <c r="Q21" s="528"/>
      <c r="R21" s="529"/>
      <c r="S21" s="48">
        <f>'Synthèse consos annuelles'!H19*'Facteurs d''émissions'!AD20</f>
        <v>0</v>
      </c>
      <c r="T21" s="532"/>
      <c r="U21" s="531"/>
      <c r="V21" s="528"/>
      <c r="W21" s="529"/>
      <c r="X21" s="48">
        <f>'Synthèse consos annuelles'!I19*'Facteurs d''émissions'!AM20</f>
        <v>0</v>
      </c>
      <c r="Y21" s="532"/>
      <c r="Z21" s="531"/>
      <c r="AA21" s="528"/>
      <c r="AB21" s="529"/>
      <c r="AC21" s="48">
        <f>'Synthèse consos annuelles'!J19*'Facteurs d''émissions'!AV20</f>
        <v>0</v>
      </c>
      <c r="AD21" s="532"/>
      <c r="AE21" s="531"/>
      <c r="AF21" s="528"/>
      <c r="AG21" s="529"/>
      <c r="AH21" s="48">
        <f>'Synthèse consos annuelles'!K19*'Facteurs d''émissions'!BE20</f>
        <v>0</v>
      </c>
      <c r="AI21" s="532"/>
      <c r="AJ21" s="531"/>
      <c r="AK21" s="528"/>
      <c r="AL21" s="529"/>
      <c r="AM21" s="48">
        <f>'Synthèse consos annuelles'!L19*'Facteurs d''émissions'!BP20</f>
        <v>0</v>
      </c>
      <c r="AN21" s="532"/>
      <c r="AO21" s="531"/>
      <c r="AP21" s="528"/>
      <c r="AQ21" s="529"/>
      <c r="AR21" s="48">
        <f>'Synthèse consos annuelles'!M19*'Facteurs d''émissions'!BW20</f>
        <v>0</v>
      </c>
      <c r="AS21" s="532"/>
      <c r="AT21" s="531"/>
      <c r="AU21" s="528"/>
      <c r="AV21" s="529"/>
      <c r="AW21" s="48">
        <f>'Synthèse consos annuelles'!N14*'Facteurs d''émissions'!CF20</f>
        <v>0</v>
      </c>
      <c r="AX21" s="532"/>
      <c r="AY21" s="531"/>
      <c r="AZ21" s="528"/>
      <c r="BA21" s="529"/>
      <c r="BB21" s="48">
        <f>'Synthèse consos annuelles'!O19*'Facteurs d''émissions'!CO20</f>
        <v>0</v>
      </c>
    </row>
    <row r="22" spans="1:54" ht="31.2" customHeight="1" outlineLevel="1">
      <c r="A22" s="571"/>
      <c r="B22" s="565"/>
      <c r="C22" s="565"/>
      <c r="D22" s="356" t="s">
        <v>71</v>
      </c>
      <c r="E22" s="527"/>
      <c r="F22" s="528"/>
      <c r="G22" s="528"/>
      <c r="H22" s="529"/>
      <c r="I22" s="48">
        <f>'Synthèse consos annuelles'!F20*'Facteurs d''émissions'!L21</f>
        <v>0</v>
      </c>
      <c r="J22" s="527"/>
      <c r="K22" s="528"/>
      <c r="L22" s="528"/>
      <c r="M22" s="529"/>
      <c r="N22" s="48">
        <f>'Synthèse consos annuelles'!G20*'Facteurs d''émissions'!U21</f>
        <v>116.71889399999999</v>
      </c>
      <c r="O22" s="527"/>
      <c r="P22" s="528"/>
      <c r="Q22" s="528"/>
      <c r="R22" s="529"/>
      <c r="S22" s="48">
        <f>'Synthèse consos annuelles'!H20*'Facteurs d''émissions'!AD21</f>
        <v>0</v>
      </c>
      <c r="T22" s="532"/>
      <c r="U22" s="531"/>
      <c r="V22" s="528"/>
      <c r="W22" s="529"/>
      <c r="X22" s="48">
        <f>'Synthèse consos annuelles'!I20*'Facteurs d''émissions'!AM21</f>
        <v>0</v>
      </c>
      <c r="Y22" s="532"/>
      <c r="Z22" s="531"/>
      <c r="AA22" s="528"/>
      <c r="AB22" s="529"/>
      <c r="AC22" s="48">
        <f>'Synthèse consos annuelles'!J20*'Facteurs d''émissions'!AV21</f>
        <v>0</v>
      </c>
      <c r="AD22" s="532"/>
      <c r="AE22" s="531"/>
      <c r="AF22" s="528"/>
      <c r="AG22" s="529"/>
      <c r="AH22" s="48">
        <f>'Synthèse consos annuelles'!K20*'Facteurs d''émissions'!BE21</f>
        <v>0</v>
      </c>
      <c r="AI22" s="532"/>
      <c r="AJ22" s="531"/>
      <c r="AK22" s="528"/>
      <c r="AL22" s="529"/>
      <c r="AM22" s="48">
        <f>'Synthèse consos annuelles'!L20*'Facteurs d''émissions'!BP21</f>
        <v>0</v>
      </c>
      <c r="AN22" s="532"/>
      <c r="AO22" s="531"/>
      <c r="AP22" s="528"/>
      <c r="AQ22" s="529"/>
      <c r="AR22" s="48">
        <f>'Synthèse consos annuelles'!M20*'Facteurs d''émissions'!BW21</f>
        <v>0</v>
      </c>
      <c r="AS22" s="532"/>
      <c r="AT22" s="531"/>
      <c r="AU22" s="528"/>
      <c r="AV22" s="529"/>
      <c r="AW22" s="48">
        <f>'Synthèse consos annuelles'!N15*'Facteurs d''émissions'!CF21</f>
        <v>0</v>
      </c>
      <c r="AX22" s="532"/>
      <c r="AY22" s="531"/>
      <c r="AZ22" s="528"/>
      <c r="BA22" s="529"/>
      <c r="BB22" s="48">
        <f>'Synthèse consos annuelles'!O20*'Facteurs d''émissions'!CO21</f>
        <v>0</v>
      </c>
    </row>
    <row r="23" spans="1:54" ht="31.2" customHeight="1" outlineLevel="1">
      <c r="A23" s="571"/>
      <c r="B23" s="565"/>
      <c r="C23" s="565"/>
      <c r="D23" s="356" t="s">
        <v>72</v>
      </c>
      <c r="E23" s="527"/>
      <c r="F23" s="528"/>
      <c r="G23" s="528"/>
      <c r="H23" s="529"/>
      <c r="I23" s="48">
        <f>'Synthèse consos annuelles'!F21*'Facteurs d''émissions'!L22</f>
        <v>0</v>
      </c>
      <c r="J23" s="527"/>
      <c r="K23" s="528"/>
      <c r="L23" s="528"/>
      <c r="M23" s="529"/>
      <c r="N23" s="48">
        <f>'Synthèse consos annuelles'!G21*'Facteurs d''émissions'!U22</f>
        <v>0.89846334000000005</v>
      </c>
      <c r="O23" s="527"/>
      <c r="P23" s="528"/>
      <c r="Q23" s="528"/>
      <c r="R23" s="529"/>
      <c r="S23" s="48">
        <f>'Synthèse consos annuelles'!H21*'Facteurs d''émissions'!AD22</f>
        <v>0</v>
      </c>
      <c r="T23" s="532"/>
      <c r="U23" s="531"/>
      <c r="V23" s="528"/>
      <c r="W23" s="529"/>
      <c r="X23" s="48">
        <f>'Synthèse consos annuelles'!I21*'Facteurs d''émissions'!AM22</f>
        <v>0</v>
      </c>
      <c r="Y23" s="532"/>
      <c r="Z23" s="531"/>
      <c r="AA23" s="528"/>
      <c r="AB23" s="529"/>
      <c r="AC23" s="48">
        <f>'Synthèse consos annuelles'!J21*'Facteurs d''émissions'!AV22</f>
        <v>0</v>
      </c>
      <c r="AD23" s="532"/>
      <c r="AE23" s="531"/>
      <c r="AF23" s="528"/>
      <c r="AG23" s="529"/>
      <c r="AH23" s="48">
        <f>'Synthèse consos annuelles'!K21*'Facteurs d''émissions'!BE22</f>
        <v>0</v>
      </c>
      <c r="AI23" s="532"/>
      <c r="AJ23" s="531"/>
      <c r="AK23" s="528"/>
      <c r="AL23" s="529"/>
      <c r="AM23" s="48">
        <f>'Synthèse consos annuelles'!L21*'Facteurs d''émissions'!BP22</f>
        <v>0</v>
      </c>
      <c r="AN23" s="532"/>
      <c r="AO23" s="531"/>
      <c r="AP23" s="528"/>
      <c r="AQ23" s="529"/>
      <c r="AR23" s="48">
        <f>'Synthèse consos annuelles'!M21*'Facteurs d''émissions'!BW22</f>
        <v>0</v>
      </c>
      <c r="AS23" s="532"/>
      <c r="AT23" s="531"/>
      <c r="AU23" s="528"/>
      <c r="AV23" s="529"/>
      <c r="AW23" s="48">
        <f>'Synthèse consos annuelles'!N16*'Facteurs d''émissions'!CF22</f>
        <v>0</v>
      </c>
      <c r="AX23" s="532"/>
      <c r="AY23" s="531"/>
      <c r="AZ23" s="528"/>
      <c r="BA23" s="529"/>
      <c r="BB23" s="48">
        <f>'Synthèse consos annuelles'!O21*'Facteurs d''émissions'!CO22</f>
        <v>0</v>
      </c>
    </row>
    <row r="24" spans="1:54" ht="31.2" customHeight="1" outlineLevel="1">
      <c r="A24" s="571"/>
      <c r="B24" s="565"/>
      <c r="C24" s="565"/>
      <c r="D24" s="356" t="s">
        <v>73</v>
      </c>
      <c r="E24" s="527"/>
      <c r="F24" s="528"/>
      <c r="G24" s="528"/>
      <c r="H24" s="529"/>
      <c r="I24" s="49">
        <f>'Synthèse consos annuelles'!F22*'Facteurs d''émissions'!L23</f>
        <v>0</v>
      </c>
      <c r="J24" s="527"/>
      <c r="K24" s="528"/>
      <c r="L24" s="528"/>
      <c r="M24" s="529"/>
      <c r="N24" s="49">
        <f>'Synthèse consos annuelles'!G22*'Facteurs d''émissions'!U23</f>
        <v>11.798232599999999</v>
      </c>
      <c r="O24" s="527"/>
      <c r="P24" s="528"/>
      <c r="Q24" s="528"/>
      <c r="R24" s="529"/>
      <c r="S24" s="49">
        <f>'Synthèse consos annuelles'!H22*'Facteurs d''émissions'!AD23</f>
        <v>0</v>
      </c>
      <c r="T24" s="532"/>
      <c r="U24" s="531"/>
      <c r="V24" s="528"/>
      <c r="W24" s="529"/>
      <c r="X24" s="49">
        <f>'Synthèse consos annuelles'!I22*'Facteurs d''émissions'!AM23</f>
        <v>0</v>
      </c>
      <c r="Y24" s="532"/>
      <c r="Z24" s="531"/>
      <c r="AA24" s="528"/>
      <c r="AB24" s="529"/>
      <c r="AC24" s="49">
        <f>'Synthèse consos annuelles'!J22*'Facteurs d''émissions'!AV23</f>
        <v>0</v>
      </c>
      <c r="AD24" s="532"/>
      <c r="AE24" s="531"/>
      <c r="AF24" s="528"/>
      <c r="AG24" s="529"/>
      <c r="AH24" s="49">
        <f>'Synthèse consos annuelles'!K22*'Facteurs d''émissions'!BE23</f>
        <v>0</v>
      </c>
      <c r="AI24" s="532"/>
      <c r="AJ24" s="531"/>
      <c r="AK24" s="528"/>
      <c r="AL24" s="529"/>
      <c r="AM24" s="49">
        <f>'Synthèse consos annuelles'!L22*'Facteurs d''émissions'!BP23</f>
        <v>0</v>
      </c>
      <c r="AN24" s="532"/>
      <c r="AO24" s="531"/>
      <c r="AP24" s="528"/>
      <c r="AQ24" s="529"/>
      <c r="AR24" s="49">
        <f>'Synthèse consos annuelles'!M22*'Facteurs d''émissions'!BW23</f>
        <v>0</v>
      </c>
      <c r="AS24" s="532"/>
      <c r="AT24" s="531"/>
      <c r="AU24" s="528"/>
      <c r="AV24" s="529"/>
      <c r="AW24" s="49">
        <f>'Synthèse consos annuelles'!N17*'Facteurs d''émissions'!CF23</f>
        <v>0</v>
      </c>
      <c r="AX24" s="532"/>
      <c r="AY24" s="531"/>
      <c r="AZ24" s="528"/>
      <c r="BA24" s="529"/>
      <c r="BB24" s="49">
        <f>'Synthèse consos annuelles'!O22*'Facteurs d''émissions'!CO23</f>
        <v>0</v>
      </c>
    </row>
    <row r="25" spans="1:54" ht="65.099999999999994" customHeight="1">
      <c r="A25" s="571"/>
      <c r="B25" s="565"/>
      <c r="C25" s="565"/>
      <c r="D25" s="50" t="s">
        <v>74</v>
      </c>
      <c r="E25" s="527"/>
      <c r="F25" s="528"/>
      <c r="G25" s="528"/>
      <c r="H25" s="529"/>
      <c r="I25" s="29">
        <f>SUM(I20:I24)</f>
        <v>0</v>
      </c>
      <c r="J25" s="527"/>
      <c r="K25" s="528"/>
      <c r="L25" s="528"/>
      <c r="M25" s="529"/>
      <c r="N25" s="29">
        <f>SUM(N20:N24)</f>
        <v>656.74293594000005</v>
      </c>
      <c r="O25" s="527"/>
      <c r="P25" s="528"/>
      <c r="Q25" s="528"/>
      <c r="R25" s="529"/>
      <c r="S25" s="29">
        <f>SUM(S20:S24)</f>
        <v>0</v>
      </c>
      <c r="T25" s="532"/>
      <c r="U25" s="531"/>
      <c r="V25" s="528"/>
      <c r="W25" s="529"/>
      <c r="X25" s="29">
        <f>SUM(X20:X24)</f>
        <v>0</v>
      </c>
      <c r="Y25" s="532"/>
      <c r="Z25" s="531"/>
      <c r="AA25" s="528"/>
      <c r="AB25" s="529"/>
      <c r="AC25" s="29">
        <f>SUM(AC20:AC24)</f>
        <v>0</v>
      </c>
      <c r="AD25" s="532"/>
      <c r="AE25" s="531"/>
      <c r="AF25" s="528"/>
      <c r="AG25" s="529"/>
      <c r="AH25" s="29">
        <f>SUM(AH20:AH24)</f>
        <v>0</v>
      </c>
      <c r="AI25" s="532"/>
      <c r="AJ25" s="531"/>
      <c r="AK25" s="528"/>
      <c r="AL25" s="529"/>
      <c r="AM25" s="29">
        <f>SUM(AM20:AM24)</f>
        <v>0</v>
      </c>
      <c r="AN25" s="532"/>
      <c r="AO25" s="531"/>
      <c r="AP25" s="528"/>
      <c r="AQ25" s="529"/>
      <c r="AR25" s="29">
        <f>SUM(AR20:AR24)</f>
        <v>0</v>
      </c>
      <c r="AS25" s="532"/>
      <c r="AT25" s="531"/>
      <c r="AU25" s="528"/>
      <c r="AV25" s="529"/>
      <c r="AW25" s="29">
        <f>SUM(AW20:AW24)</f>
        <v>0</v>
      </c>
      <c r="AX25" s="532"/>
      <c r="AY25" s="531"/>
      <c r="AZ25" s="528"/>
      <c r="BA25" s="529"/>
      <c r="BB25" s="29">
        <f>SUM(BB20:BB24)</f>
        <v>0</v>
      </c>
    </row>
    <row r="26" spans="1:54" ht="31.2" customHeight="1" outlineLevel="1">
      <c r="A26" s="571"/>
      <c r="B26" s="568">
        <v>22</v>
      </c>
      <c r="C26" s="567" t="s">
        <v>75</v>
      </c>
      <c r="D26" s="356" t="s">
        <v>76</v>
      </c>
      <c r="E26" s="527"/>
      <c r="F26" s="528"/>
      <c r="G26" s="528"/>
      <c r="H26" s="529"/>
      <c r="I26" s="51">
        <f>'Synthèse consos annuelles'!F23*'Facteurs d''émissions'!L24</f>
        <v>1.6849967174857147E-2</v>
      </c>
      <c r="J26" s="527"/>
      <c r="K26" s="528"/>
      <c r="L26" s="528"/>
      <c r="M26" s="529"/>
      <c r="N26" s="51">
        <f>'Synthèse consos annuelles'!G23*'Facteurs d''émissions'!U24</f>
        <v>1.688220130457142E-2</v>
      </c>
      <c r="O26" s="527"/>
      <c r="P26" s="528"/>
      <c r="Q26" s="528"/>
      <c r="R26" s="529"/>
      <c r="S26" s="51">
        <f>'Synthèse consos annuelles'!H23*'Facteurs d''émissions'!AD24</f>
        <v>1.7436967642285705E-2</v>
      </c>
      <c r="T26" s="532"/>
      <c r="U26" s="531"/>
      <c r="V26" s="528"/>
      <c r="W26" s="529"/>
      <c r="X26" s="51">
        <f>'Synthèse consos annuelles'!I23*'Facteurs d''émissions'!AM24</f>
        <v>0</v>
      </c>
      <c r="Y26" s="532"/>
      <c r="Z26" s="531"/>
      <c r="AA26" s="528"/>
      <c r="AB26" s="529"/>
      <c r="AC26" s="51">
        <f>'Synthèse consos annuelles'!J23*'Facteurs d''émissions'!AV24</f>
        <v>0</v>
      </c>
      <c r="AD26" s="532"/>
      <c r="AE26" s="531"/>
      <c r="AF26" s="528"/>
      <c r="AG26" s="529"/>
      <c r="AH26" s="51">
        <f>'Synthèse consos annuelles'!K23*'Facteurs d''émissions'!BE24</f>
        <v>0</v>
      </c>
      <c r="AI26" s="532"/>
      <c r="AJ26" s="531"/>
      <c r="AK26" s="528"/>
      <c r="AL26" s="529"/>
      <c r="AM26" s="51">
        <f>'Synthèse consos annuelles'!L23*'Facteurs d''émissions'!BP24</f>
        <v>0</v>
      </c>
      <c r="AN26" s="532"/>
      <c r="AO26" s="531"/>
      <c r="AP26" s="528"/>
      <c r="AQ26" s="529"/>
      <c r="AR26" s="51">
        <f>'Synthèse consos annuelles'!M23*'Facteurs d''émissions'!BW24</f>
        <v>0</v>
      </c>
      <c r="AS26" s="532"/>
      <c r="AT26" s="531"/>
      <c r="AU26" s="528"/>
      <c r="AV26" s="529"/>
      <c r="AW26" s="51">
        <f>'Synthèse consos annuelles'!N23*'Facteurs d''émissions'!CF24</f>
        <v>0</v>
      </c>
      <c r="AX26" s="532"/>
      <c r="AY26" s="531"/>
      <c r="AZ26" s="528"/>
      <c r="BA26" s="529"/>
      <c r="BB26" s="51">
        <f>'Synthèse consos annuelles'!O23*'Facteurs d''émissions'!CO24</f>
        <v>0</v>
      </c>
    </row>
    <row r="27" spans="1:54" ht="31.2" customHeight="1" outlineLevel="1">
      <c r="A27" s="571"/>
      <c r="B27" s="565"/>
      <c r="C27" s="565"/>
      <c r="D27" s="356" t="s">
        <v>77</v>
      </c>
      <c r="E27" s="527"/>
      <c r="F27" s="528"/>
      <c r="G27" s="528"/>
      <c r="H27" s="529"/>
      <c r="I27" s="48">
        <f>'Synthèse consos annuelles'!F24*'Facteurs d''émissions'!L25</f>
        <v>0</v>
      </c>
      <c r="J27" s="527"/>
      <c r="K27" s="528"/>
      <c r="L27" s="528"/>
      <c r="M27" s="529"/>
      <c r="N27" s="48">
        <f>'Synthèse consos annuelles'!G24*'Facteurs d''émissions'!U25</f>
        <v>0</v>
      </c>
      <c r="O27" s="527"/>
      <c r="P27" s="528"/>
      <c r="Q27" s="528"/>
      <c r="R27" s="529"/>
      <c r="S27" s="48">
        <f>'Synthèse consos annuelles'!H24*'Facteurs d''émissions'!AD25</f>
        <v>0</v>
      </c>
      <c r="T27" s="532"/>
      <c r="U27" s="531"/>
      <c r="V27" s="528"/>
      <c r="W27" s="529"/>
      <c r="X27" s="48">
        <f>'Synthèse consos annuelles'!I24*'Facteurs d''émissions'!AM25</f>
        <v>0</v>
      </c>
      <c r="Y27" s="532"/>
      <c r="Z27" s="531"/>
      <c r="AA27" s="528"/>
      <c r="AB27" s="529"/>
      <c r="AC27" s="48">
        <f>'Synthèse consos annuelles'!J24*'Facteurs d''émissions'!AV25</f>
        <v>0</v>
      </c>
      <c r="AD27" s="532"/>
      <c r="AE27" s="531"/>
      <c r="AF27" s="528"/>
      <c r="AG27" s="529"/>
      <c r="AH27" s="48">
        <f>'Synthèse consos annuelles'!K24*'Facteurs d''émissions'!BE25</f>
        <v>0</v>
      </c>
      <c r="AI27" s="532"/>
      <c r="AJ27" s="531"/>
      <c r="AK27" s="528"/>
      <c r="AL27" s="529"/>
      <c r="AM27" s="48">
        <f>'Synthèse consos annuelles'!L24*'Facteurs d''émissions'!BP25</f>
        <v>0</v>
      </c>
      <c r="AN27" s="532"/>
      <c r="AO27" s="531"/>
      <c r="AP27" s="528"/>
      <c r="AQ27" s="529"/>
      <c r="AR27" s="48">
        <f>'Synthèse consos annuelles'!M24*'Facteurs d''émissions'!BW25</f>
        <v>0</v>
      </c>
      <c r="AS27" s="532"/>
      <c r="AT27" s="531"/>
      <c r="AU27" s="528"/>
      <c r="AV27" s="529"/>
      <c r="AW27" s="48">
        <f>'Synthèse consos annuelles'!N24*'Facteurs d''émissions'!CF25</f>
        <v>0</v>
      </c>
      <c r="AX27" s="532"/>
      <c r="AY27" s="531"/>
      <c r="AZ27" s="528"/>
      <c r="BA27" s="529"/>
      <c r="BB27" s="48">
        <f>'Synthèse consos annuelles'!O24*'Facteurs d''émissions'!CO25</f>
        <v>0</v>
      </c>
    </row>
    <row r="28" spans="1:54" ht="31.2" customHeight="1" outlineLevel="1">
      <c r="A28" s="571"/>
      <c r="B28" s="565"/>
      <c r="C28" s="565"/>
      <c r="D28" s="356" t="s">
        <v>78</v>
      </c>
      <c r="E28" s="527"/>
      <c r="F28" s="528"/>
      <c r="G28" s="528"/>
      <c r="H28" s="529"/>
      <c r="I28" s="48">
        <f>'Synthèse consos annuelles'!F25*'Facteurs d''émissions'!L26</f>
        <v>0.11045790476190467</v>
      </c>
      <c r="J28" s="527"/>
      <c r="K28" s="528"/>
      <c r="L28" s="528"/>
      <c r="M28" s="529"/>
      <c r="N28" s="48">
        <f>'Synthèse consos annuelles'!G25*'Facteurs d''émissions'!U26</f>
        <v>0.11364419047619045</v>
      </c>
      <c r="O28" s="527"/>
      <c r="P28" s="528"/>
      <c r="Q28" s="528"/>
      <c r="R28" s="529"/>
      <c r="S28" s="48">
        <f>'Synthèse consos annuelles'!H25*'Facteurs d''émissions'!AD26</f>
        <v>0.11470628571428565</v>
      </c>
      <c r="T28" s="532"/>
      <c r="U28" s="531"/>
      <c r="V28" s="528"/>
      <c r="W28" s="529"/>
      <c r="X28" s="48">
        <f>'Synthèse consos annuelles'!I25*'Facteurs d''émissions'!AM26</f>
        <v>0</v>
      </c>
      <c r="Y28" s="532"/>
      <c r="Z28" s="531"/>
      <c r="AA28" s="528"/>
      <c r="AB28" s="529"/>
      <c r="AC28" s="48">
        <f>'Synthèse consos annuelles'!J25*'Facteurs d''émissions'!AV26</f>
        <v>0</v>
      </c>
      <c r="AD28" s="532"/>
      <c r="AE28" s="531"/>
      <c r="AF28" s="528"/>
      <c r="AG28" s="529"/>
      <c r="AH28" s="48">
        <f>'Synthèse consos annuelles'!K25*'Facteurs d''émissions'!BE26</f>
        <v>0</v>
      </c>
      <c r="AI28" s="532"/>
      <c r="AJ28" s="531"/>
      <c r="AK28" s="528"/>
      <c r="AL28" s="529"/>
      <c r="AM28" s="48">
        <f>'Synthèse consos annuelles'!L25*'Facteurs d''émissions'!BP26</f>
        <v>0</v>
      </c>
      <c r="AN28" s="532"/>
      <c r="AO28" s="531"/>
      <c r="AP28" s="528"/>
      <c r="AQ28" s="529"/>
      <c r="AR28" s="48">
        <f>'Synthèse consos annuelles'!M25*'Facteurs d''émissions'!BW26</f>
        <v>0</v>
      </c>
      <c r="AS28" s="532"/>
      <c r="AT28" s="531"/>
      <c r="AU28" s="528"/>
      <c r="AV28" s="529"/>
      <c r="AW28" s="48">
        <f>'Synthèse consos annuelles'!N25*'Facteurs d''émissions'!CF26</f>
        <v>0</v>
      </c>
      <c r="AX28" s="532"/>
      <c r="AY28" s="531"/>
      <c r="AZ28" s="528"/>
      <c r="BA28" s="529"/>
      <c r="BB28" s="48">
        <f>'Synthèse consos annuelles'!O25*'Facteurs d''émissions'!CO26</f>
        <v>0</v>
      </c>
    </row>
    <row r="29" spans="1:54" ht="31.2" customHeight="1" outlineLevel="1">
      <c r="A29" s="571"/>
      <c r="B29" s="565"/>
      <c r="C29" s="565"/>
      <c r="D29" s="356" t="s">
        <v>79</v>
      </c>
      <c r="E29" s="527"/>
      <c r="F29" s="528"/>
      <c r="G29" s="528"/>
      <c r="H29" s="529"/>
      <c r="I29" s="48">
        <f>'Synthèse consos annuelles'!F26*'Facteurs d''émissions'!L27</f>
        <v>38.357328144444431</v>
      </c>
      <c r="J29" s="527"/>
      <c r="K29" s="528"/>
      <c r="L29" s="528"/>
      <c r="M29" s="529"/>
      <c r="N29" s="48">
        <f>'Synthèse consos annuelles'!G26*'Facteurs d''émissions'!U27</f>
        <v>38.917758511111145</v>
      </c>
      <c r="O29" s="527"/>
      <c r="P29" s="528"/>
      <c r="Q29" s="528"/>
      <c r="R29" s="529"/>
      <c r="S29" s="48">
        <f>'Synthèse consos annuelles'!H26*'Facteurs d''émissions'!AD27</f>
        <v>37.606050749999966</v>
      </c>
      <c r="T29" s="532"/>
      <c r="U29" s="531"/>
      <c r="V29" s="528"/>
      <c r="W29" s="529"/>
      <c r="X29" s="48">
        <f>'Synthèse consos annuelles'!I26*'Facteurs d''émissions'!AM27</f>
        <v>0</v>
      </c>
      <c r="Y29" s="532"/>
      <c r="Z29" s="531"/>
      <c r="AA29" s="528"/>
      <c r="AB29" s="529"/>
      <c r="AC29" s="48">
        <f>'Synthèse consos annuelles'!J26*'Facteurs d''émissions'!AV27</f>
        <v>0</v>
      </c>
      <c r="AD29" s="532"/>
      <c r="AE29" s="531"/>
      <c r="AF29" s="528"/>
      <c r="AG29" s="529"/>
      <c r="AH29" s="48">
        <f>'Synthèse consos annuelles'!K26*'Facteurs d''émissions'!BE27</f>
        <v>0</v>
      </c>
      <c r="AI29" s="532"/>
      <c r="AJ29" s="531"/>
      <c r="AK29" s="528"/>
      <c r="AL29" s="529"/>
      <c r="AM29" s="48">
        <f>'Synthèse consos annuelles'!L26*'Facteurs d''émissions'!BP27</f>
        <v>0</v>
      </c>
      <c r="AN29" s="532"/>
      <c r="AO29" s="531"/>
      <c r="AP29" s="528"/>
      <c r="AQ29" s="529"/>
      <c r="AR29" s="48">
        <f>'Synthèse consos annuelles'!M26*'Facteurs d''émissions'!BW27</f>
        <v>0</v>
      </c>
      <c r="AS29" s="532"/>
      <c r="AT29" s="531"/>
      <c r="AU29" s="528"/>
      <c r="AV29" s="529"/>
      <c r="AW29" s="48">
        <f>'Synthèse consos annuelles'!N26*'Facteurs d''émissions'!CF27</f>
        <v>0</v>
      </c>
      <c r="AX29" s="532"/>
      <c r="AY29" s="531"/>
      <c r="AZ29" s="528"/>
      <c r="BA29" s="529"/>
      <c r="BB29" s="48">
        <f>'Synthèse consos annuelles'!O26*'Facteurs d''émissions'!CO27</f>
        <v>0</v>
      </c>
    </row>
    <row r="30" spans="1:54" ht="31.2" customHeight="1" outlineLevel="1">
      <c r="A30" s="571"/>
      <c r="B30" s="565"/>
      <c r="C30" s="565"/>
      <c r="D30" s="356" t="s">
        <v>80</v>
      </c>
      <c r="E30" s="527"/>
      <c r="F30" s="528"/>
      <c r="G30" s="528"/>
      <c r="H30" s="529"/>
      <c r="I30" s="48">
        <f>'Synthèse consos annuelles'!F27*'Facteurs d''émissions'!L28</f>
        <v>120.06064573412699</v>
      </c>
      <c r="J30" s="527"/>
      <c r="K30" s="528"/>
      <c r="L30" s="528"/>
      <c r="M30" s="529"/>
      <c r="N30" s="48">
        <f>'Synthèse consos annuelles'!G27*'Facteurs d''émissions'!U28</f>
        <v>118.76998281746043</v>
      </c>
      <c r="O30" s="527"/>
      <c r="P30" s="528"/>
      <c r="Q30" s="528"/>
      <c r="R30" s="529"/>
      <c r="S30" s="48">
        <f>'Synthèse consos annuelles'!H27*'Facteurs d''émissions'!AD28</f>
        <v>114.25123330357157</v>
      </c>
      <c r="T30" s="532"/>
      <c r="U30" s="531"/>
      <c r="V30" s="528"/>
      <c r="W30" s="529"/>
      <c r="X30" s="48">
        <f>'Synthèse consos annuelles'!I27*'Facteurs d''émissions'!AM28</f>
        <v>0</v>
      </c>
      <c r="Y30" s="532"/>
      <c r="Z30" s="531"/>
      <c r="AA30" s="528"/>
      <c r="AB30" s="529"/>
      <c r="AC30" s="48">
        <f>'Synthèse consos annuelles'!J27*'Facteurs d''émissions'!AV28</f>
        <v>0</v>
      </c>
      <c r="AD30" s="532"/>
      <c r="AE30" s="531"/>
      <c r="AF30" s="528"/>
      <c r="AG30" s="529"/>
      <c r="AH30" s="48">
        <f>'Synthèse consos annuelles'!K27*'Facteurs d''émissions'!BE28</f>
        <v>0</v>
      </c>
      <c r="AI30" s="532"/>
      <c r="AJ30" s="531"/>
      <c r="AK30" s="528"/>
      <c r="AL30" s="529"/>
      <c r="AM30" s="48">
        <f>'Synthèse consos annuelles'!L27*'Facteurs d''émissions'!BP28</f>
        <v>0</v>
      </c>
      <c r="AN30" s="532"/>
      <c r="AO30" s="531"/>
      <c r="AP30" s="528"/>
      <c r="AQ30" s="529"/>
      <c r="AR30" s="48">
        <f>'Synthèse consos annuelles'!M27*'Facteurs d''émissions'!BW28</f>
        <v>0</v>
      </c>
      <c r="AS30" s="532"/>
      <c r="AT30" s="531"/>
      <c r="AU30" s="528"/>
      <c r="AV30" s="529"/>
      <c r="AW30" s="48">
        <f>'Synthèse consos annuelles'!N27*'Facteurs d''émissions'!CF28</f>
        <v>0</v>
      </c>
      <c r="AX30" s="532"/>
      <c r="AY30" s="531"/>
      <c r="AZ30" s="528"/>
      <c r="BA30" s="529"/>
      <c r="BB30" s="48">
        <f>'Synthèse consos annuelles'!O27*'Facteurs d''émissions'!CO28</f>
        <v>0</v>
      </c>
    </row>
    <row r="31" spans="1:54" ht="31.2" customHeight="1" outlineLevel="1">
      <c r="A31" s="571"/>
      <c r="B31" s="565"/>
      <c r="C31" s="565"/>
      <c r="D31" s="356" t="s">
        <v>81</v>
      </c>
      <c r="E31" s="527"/>
      <c r="F31" s="528"/>
      <c r="G31" s="528"/>
      <c r="H31" s="529"/>
      <c r="I31" s="48">
        <f>'Synthèse consos annuelles'!F28*'Facteurs d''émissions'!L29</f>
        <v>0</v>
      </c>
      <c r="J31" s="527"/>
      <c r="K31" s="528"/>
      <c r="L31" s="528"/>
      <c r="M31" s="529"/>
      <c r="N31" s="48">
        <f>'Synthèse consos annuelles'!G28*'Facteurs d''émissions'!U29</f>
        <v>0</v>
      </c>
      <c r="O31" s="527"/>
      <c r="P31" s="528"/>
      <c r="Q31" s="528"/>
      <c r="R31" s="529"/>
      <c r="S31" s="48">
        <f>'Synthèse consos annuelles'!H28*'Facteurs d''émissions'!AD29</f>
        <v>0</v>
      </c>
      <c r="T31" s="532"/>
      <c r="U31" s="531"/>
      <c r="V31" s="528"/>
      <c r="W31" s="529"/>
      <c r="X31" s="48">
        <f>'Synthèse consos annuelles'!I28*'Facteurs d''émissions'!AM29</f>
        <v>0</v>
      </c>
      <c r="Y31" s="532"/>
      <c r="Z31" s="531"/>
      <c r="AA31" s="528"/>
      <c r="AB31" s="529"/>
      <c r="AC31" s="48">
        <f>'Synthèse consos annuelles'!J28*'Facteurs d''émissions'!AV29</f>
        <v>0</v>
      </c>
      <c r="AD31" s="532"/>
      <c r="AE31" s="531"/>
      <c r="AF31" s="528"/>
      <c r="AG31" s="529"/>
      <c r="AH31" s="48">
        <f>'Synthèse consos annuelles'!K28*'Facteurs d''émissions'!BE29</f>
        <v>0</v>
      </c>
      <c r="AI31" s="532"/>
      <c r="AJ31" s="531"/>
      <c r="AK31" s="528"/>
      <c r="AL31" s="529"/>
      <c r="AM31" s="48">
        <f>'Synthèse consos annuelles'!L28*'Facteurs d''émissions'!BP29</f>
        <v>0</v>
      </c>
      <c r="AN31" s="532"/>
      <c r="AO31" s="531"/>
      <c r="AP31" s="528"/>
      <c r="AQ31" s="529"/>
      <c r="AR31" s="48">
        <f>'Synthèse consos annuelles'!M28*'Facteurs d''émissions'!BW29</f>
        <v>0</v>
      </c>
      <c r="AS31" s="532"/>
      <c r="AT31" s="531"/>
      <c r="AU31" s="528"/>
      <c r="AV31" s="529"/>
      <c r="AW31" s="48">
        <f>'Synthèse consos annuelles'!N28*'Facteurs d''émissions'!CF29</f>
        <v>0</v>
      </c>
      <c r="AX31" s="532"/>
      <c r="AY31" s="531"/>
      <c r="AZ31" s="528"/>
      <c r="BA31" s="529"/>
      <c r="BB31" s="48">
        <f>'Synthèse consos annuelles'!O28*'Facteurs d''émissions'!CO29</f>
        <v>0</v>
      </c>
    </row>
    <row r="32" spans="1:54" ht="31.2" customHeight="1" outlineLevel="1">
      <c r="A32" s="571"/>
      <c r="B32" s="565"/>
      <c r="C32" s="565"/>
      <c r="D32" s="356" t="s">
        <v>82</v>
      </c>
      <c r="E32" s="527"/>
      <c r="F32" s="528"/>
      <c r="G32" s="528"/>
      <c r="H32" s="529"/>
      <c r="I32" s="48">
        <f>'Synthèse consos annuelles'!F29*'Facteurs d''émissions'!L30</f>
        <v>1.3942603174603136</v>
      </c>
      <c r="J32" s="527"/>
      <c r="K32" s="528"/>
      <c r="L32" s="528"/>
      <c r="M32" s="529"/>
      <c r="N32" s="48">
        <f>'Synthèse consos annuelles'!G29*'Facteurs d''émissions'!U30</f>
        <v>1.4344793650793621</v>
      </c>
      <c r="O32" s="527"/>
      <c r="P32" s="528"/>
      <c r="Q32" s="528"/>
      <c r="R32" s="529"/>
      <c r="S32" s="48">
        <f>'Synthèse consos annuelles'!H29*'Facteurs d''émissions'!AD30</f>
        <v>1.4478857142857187</v>
      </c>
      <c r="T32" s="532"/>
      <c r="U32" s="531"/>
      <c r="V32" s="528"/>
      <c r="W32" s="529"/>
      <c r="X32" s="48">
        <f>'Synthèse consos annuelles'!I29*'Facteurs d''émissions'!AM30</f>
        <v>0</v>
      </c>
      <c r="Y32" s="532"/>
      <c r="Z32" s="531"/>
      <c r="AA32" s="528"/>
      <c r="AB32" s="529"/>
      <c r="AC32" s="48">
        <f>'Synthèse consos annuelles'!J29*'Facteurs d''émissions'!AV30</f>
        <v>0</v>
      </c>
      <c r="AD32" s="532"/>
      <c r="AE32" s="531"/>
      <c r="AF32" s="528"/>
      <c r="AG32" s="529"/>
      <c r="AH32" s="48">
        <f>'Synthèse consos annuelles'!K29*'Facteurs d''émissions'!BE30</f>
        <v>0</v>
      </c>
      <c r="AI32" s="532"/>
      <c r="AJ32" s="531"/>
      <c r="AK32" s="528"/>
      <c r="AL32" s="529"/>
      <c r="AM32" s="48">
        <f>'Synthèse consos annuelles'!L29*'Facteurs d''émissions'!BP30</f>
        <v>0</v>
      </c>
      <c r="AN32" s="532"/>
      <c r="AO32" s="531"/>
      <c r="AP32" s="528"/>
      <c r="AQ32" s="529"/>
      <c r="AR32" s="48">
        <f>'Synthèse consos annuelles'!M29*'Facteurs d''émissions'!BW30</f>
        <v>0</v>
      </c>
      <c r="AS32" s="532"/>
      <c r="AT32" s="531"/>
      <c r="AU32" s="528"/>
      <c r="AV32" s="529"/>
      <c r="AW32" s="48">
        <f>'Synthèse consos annuelles'!N29*'Facteurs d''émissions'!CF30</f>
        <v>0</v>
      </c>
      <c r="AX32" s="532"/>
      <c r="AY32" s="531"/>
      <c r="AZ32" s="528"/>
      <c r="BA32" s="529"/>
      <c r="BB32" s="48">
        <f>'Synthèse consos annuelles'!O29*'Facteurs d''émissions'!CO30</f>
        <v>0</v>
      </c>
    </row>
    <row r="33" spans="1:54" ht="31.2" customHeight="1" outlineLevel="1">
      <c r="A33" s="571"/>
      <c r="B33" s="565"/>
      <c r="C33" s="565"/>
      <c r="D33" s="356" t="s">
        <v>83</v>
      </c>
      <c r="E33" s="527"/>
      <c r="F33" s="528"/>
      <c r="G33" s="528"/>
      <c r="H33" s="529"/>
      <c r="I33" s="48">
        <f>'Synthèse consos annuelles'!F30*'Facteurs d''émissions'!L31</f>
        <v>0</v>
      </c>
      <c r="J33" s="527"/>
      <c r="K33" s="528"/>
      <c r="L33" s="528"/>
      <c r="M33" s="529"/>
      <c r="N33" s="48">
        <f>'Synthèse consos annuelles'!G30*'Facteurs d''émissions'!U31</f>
        <v>0</v>
      </c>
      <c r="O33" s="527"/>
      <c r="P33" s="528"/>
      <c r="Q33" s="528"/>
      <c r="R33" s="529"/>
      <c r="S33" s="48">
        <f>'Synthèse consos annuelles'!H30*'Facteurs d''émissions'!AD31</f>
        <v>0</v>
      </c>
      <c r="T33" s="532"/>
      <c r="U33" s="531"/>
      <c r="V33" s="528"/>
      <c r="W33" s="529"/>
      <c r="X33" s="48">
        <f>'Synthèse consos annuelles'!I30*'Facteurs d''émissions'!AM31</f>
        <v>0</v>
      </c>
      <c r="Y33" s="532"/>
      <c r="Z33" s="531"/>
      <c r="AA33" s="528"/>
      <c r="AB33" s="529"/>
      <c r="AC33" s="48">
        <f>'Synthèse consos annuelles'!J30*'Facteurs d''émissions'!AV31</f>
        <v>0</v>
      </c>
      <c r="AD33" s="532"/>
      <c r="AE33" s="531"/>
      <c r="AF33" s="528"/>
      <c r="AG33" s="529"/>
      <c r="AH33" s="48">
        <f>'Synthèse consos annuelles'!K30*'Facteurs d''émissions'!BE31</f>
        <v>0</v>
      </c>
      <c r="AI33" s="532"/>
      <c r="AJ33" s="531"/>
      <c r="AK33" s="528"/>
      <c r="AL33" s="529"/>
      <c r="AM33" s="48">
        <f>'Synthèse consos annuelles'!L30*'Facteurs d''émissions'!BP31</f>
        <v>0</v>
      </c>
      <c r="AN33" s="532"/>
      <c r="AO33" s="531"/>
      <c r="AP33" s="528"/>
      <c r="AQ33" s="529"/>
      <c r="AR33" s="48">
        <f>'Synthèse consos annuelles'!M30*'Facteurs d''émissions'!BW31</f>
        <v>0</v>
      </c>
      <c r="AS33" s="532"/>
      <c r="AT33" s="531"/>
      <c r="AU33" s="528"/>
      <c r="AV33" s="529"/>
      <c r="AW33" s="48">
        <f>'Synthèse consos annuelles'!N30*'Facteurs d''émissions'!CF31</f>
        <v>0</v>
      </c>
      <c r="AX33" s="532"/>
      <c r="AY33" s="531"/>
      <c r="AZ33" s="528"/>
      <c r="BA33" s="529"/>
      <c r="BB33" s="48">
        <f>'Synthèse consos annuelles'!O30*'Facteurs d''émissions'!CO31</f>
        <v>0</v>
      </c>
    </row>
    <row r="34" spans="1:54" ht="31.2" customHeight="1" outlineLevel="1">
      <c r="A34" s="571"/>
      <c r="B34" s="565"/>
      <c r="C34" s="565"/>
      <c r="D34" s="356" t="s">
        <v>73</v>
      </c>
      <c r="E34" s="527"/>
      <c r="F34" s="528"/>
      <c r="G34" s="528"/>
      <c r="H34" s="529"/>
      <c r="I34" s="48">
        <f>'Synthèse consos annuelles'!F31*'Facteurs d''émissions'!L32</f>
        <v>2.8142399999999976</v>
      </c>
      <c r="J34" s="527"/>
      <c r="K34" s="528"/>
      <c r="L34" s="528"/>
      <c r="M34" s="529"/>
      <c r="N34" s="48">
        <f>'Synthèse consos annuelles'!G31*'Facteurs d''émissions'!U32</f>
        <v>2.8954200000000045</v>
      </c>
      <c r="O34" s="527"/>
      <c r="P34" s="528"/>
      <c r="Q34" s="528"/>
      <c r="R34" s="529"/>
      <c r="S34" s="48">
        <f>'Synthèse consos annuelles'!H31*'Facteurs d''émissions'!AD32</f>
        <v>2.9224800000000064</v>
      </c>
      <c r="T34" s="532"/>
      <c r="U34" s="531"/>
      <c r="V34" s="528"/>
      <c r="W34" s="529"/>
      <c r="X34" s="48">
        <f>'Synthèse consos annuelles'!I31*'Facteurs d''émissions'!AM32</f>
        <v>0</v>
      </c>
      <c r="Y34" s="532"/>
      <c r="Z34" s="531"/>
      <c r="AA34" s="528"/>
      <c r="AB34" s="529"/>
      <c r="AC34" s="48">
        <f>'Synthèse consos annuelles'!J31*'Facteurs d''émissions'!AV32</f>
        <v>0</v>
      </c>
      <c r="AD34" s="532"/>
      <c r="AE34" s="531"/>
      <c r="AF34" s="528"/>
      <c r="AG34" s="529"/>
      <c r="AH34" s="48">
        <f>'Synthèse consos annuelles'!K31*'Facteurs d''émissions'!BE32</f>
        <v>0</v>
      </c>
      <c r="AI34" s="532"/>
      <c r="AJ34" s="531"/>
      <c r="AK34" s="528"/>
      <c r="AL34" s="529"/>
      <c r="AM34" s="48">
        <f>'Synthèse consos annuelles'!L31*'Facteurs d''émissions'!BP32</f>
        <v>0</v>
      </c>
      <c r="AN34" s="532"/>
      <c r="AO34" s="531"/>
      <c r="AP34" s="528"/>
      <c r="AQ34" s="529"/>
      <c r="AR34" s="48">
        <f>'Synthèse consos annuelles'!M31*'Facteurs d''émissions'!BW32</f>
        <v>0</v>
      </c>
      <c r="AS34" s="532"/>
      <c r="AT34" s="531"/>
      <c r="AU34" s="528"/>
      <c r="AV34" s="529"/>
      <c r="AW34" s="48">
        <f>'Synthèse consos annuelles'!N31*'Facteurs d''émissions'!CF32</f>
        <v>0</v>
      </c>
      <c r="AX34" s="532"/>
      <c r="AY34" s="531"/>
      <c r="AZ34" s="528"/>
      <c r="BA34" s="529"/>
      <c r="BB34" s="48">
        <f>'Synthèse consos annuelles'!O31*'Facteurs d''émissions'!CO32</f>
        <v>0</v>
      </c>
    </row>
    <row r="35" spans="1:54" ht="31.2" customHeight="1" outlineLevel="1">
      <c r="A35" s="571"/>
      <c r="B35" s="565"/>
      <c r="C35" s="565"/>
      <c r="D35" s="356" t="s">
        <v>84</v>
      </c>
      <c r="E35" s="527"/>
      <c r="F35" s="528"/>
      <c r="G35" s="528"/>
      <c r="H35" s="529"/>
      <c r="I35" s="48">
        <f>'Synthèse consos annuelles'!F32*'Facteurs d''émissions'!L33</f>
        <v>0.36610754761904712</v>
      </c>
      <c r="J35" s="527"/>
      <c r="K35" s="528"/>
      <c r="L35" s="528"/>
      <c r="M35" s="529"/>
      <c r="N35" s="48">
        <f>'Synthèse consos annuelles'!G32*'Facteurs d''émissions'!U33</f>
        <v>0.36939539619047596</v>
      </c>
      <c r="O35" s="527"/>
      <c r="P35" s="528"/>
      <c r="Q35" s="528"/>
      <c r="R35" s="529"/>
      <c r="S35" s="48">
        <f>'Synthèse consos annuelles'!H32*'Facteurs d''émissions'!AD33</f>
        <v>0.35128202571428513</v>
      </c>
      <c r="T35" s="532"/>
      <c r="U35" s="531"/>
      <c r="V35" s="528"/>
      <c r="W35" s="529"/>
      <c r="X35" s="48">
        <f>'Synthèse consos annuelles'!I32*'Facteurs d''émissions'!AM33</f>
        <v>0</v>
      </c>
      <c r="Y35" s="532"/>
      <c r="Z35" s="531"/>
      <c r="AA35" s="528"/>
      <c r="AB35" s="529"/>
      <c r="AC35" s="48">
        <f>'Synthèse consos annuelles'!J32*'Facteurs d''émissions'!AV33</f>
        <v>0</v>
      </c>
      <c r="AD35" s="532"/>
      <c r="AE35" s="531"/>
      <c r="AF35" s="528"/>
      <c r="AG35" s="529"/>
      <c r="AH35" s="48">
        <f>'Synthèse consos annuelles'!K32*'Facteurs d''émissions'!BE33</f>
        <v>0</v>
      </c>
      <c r="AI35" s="532"/>
      <c r="AJ35" s="531"/>
      <c r="AK35" s="528"/>
      <c r="AL35" s="529"/>
      <c r="AM35" s="48">
        <f>'Synthèse consos annuelles'!L32*'Facteurs d''émissions'!BP33</f>
        <v>0</v>
      </c>
      <c r="AN35" s="532"/>
      <c r="AO35" s="531"/>
      <c r="AP35" s="528"/>
      <c r="AQ35" s="529"/>
      <c r="AR35" s="48">
        <f>'Synthèse consos annuelles'!M32*'Facteurs d''émissions'!BW33</f>
        <v>0</v>
      </c>
      <c r="AS35" s="532"/>
      <c r="AT35" s="531"/>
      <c r="AU35" s="528"/>
      <c r="AV35" s="529"/>
      <c r="AW35" s="48">
        <f>'Synthèse consos annuelles'!N32*'Facteurs d''émissions'!CF33</f>
        <v>0</v>
      </c>
      <c r="AX35" s="532"/>
      <c r="AY35" s="531"/>
      <c r="AZ35" s="528"/>
      <c r="BA35" s="529"/>
      <c r="BB35" s="48">
        <f>'Synthèse consos annuelles'!O32*'Facteurs d''émissions'!CO33</f>
        <v>0</v>
      </c>
    </row>
    <row r="36" spans="1:54" ht="31.2" customHeight="1" outlineLevel="1">
      <c r="A36" s="572"/>
      <c r="B36" s="565"/>
      <c r="C36" s="565"/>
      <c r="D36" s="356" t="s">
        <v>72</v>
      </c>
      <c r="E36" s="527"/>
      <c r="F36" s="528"/>
      <c r="G36" s="528"/>
      <c r="H36" s="529"/>
      <c r="I36" s="49">
        <f>'Synthèse consos annuelles'!F33*'Facteurs d''émissions'!L34</f>
        <v>1.3950058178571469</v>
      </c>
      <c r="J36" s="527"/>
      <c r="K36" s="528"/>
      <c r="L36" s="528"/>
      <c r="M36" s="529"/>
      <c r="N36" s="49">
        <f>'Synthèse consos annuelles'!G33*'Facteurs d''émissions'!U34</f>
        <v>1.4032252928571469</v>
      </c>
      <c r="O36" s="527"/>
      <c r="P36" s="528"/>
      <c r="Q36" s="528"/>
      <c r="R36" s="529"/>
      <c r="S36" s="49">
        <f>'Synthèse consos annuelles'!H33*'Facteurs d''émissions'!AD34</f>
        <v>1.348124367857144</v>
      </c>
      <c r="T36" s="532"/>
      <c r="U36" s="531"/>
      <c r="V36" s="528"/>
      <c r="W36" s="529"/>
      <c r="X36" s="49">
        <f>'Synthèse consos annuelles'!I33*'Facteurs d''émissions'!AM34</f>
        <v>0</v>
      </c>
      <c r="Y36" s="532"/>
      <c r="Z36" s="531"/>
      <c r="AA36" s="528"/>
      <c r="AB36" s="529"/>
      <c r="AC36" s="49">
        <f>'Synthèse consos annuelles'!J33*'Facteurs d''émissions'!AV34</f>
        <v>0</v>
      </c>
      <c r="AD36" s="532"/>
      <c r="AE36" s="531"/>
      <c r="AF36" s="528"/>
      <c r="AG36" s="529"/>
      <c r="AH36" s="49">
        <f>'Synthèse consos annuelles'!K33*'Facteurs d''émissions'!BE34</f>
        <v>0</v>
      </c>
      <c r="AI36" s="532"/>
      <c r="AJ36" s="531"/>
      <c r="AK36" s="528"/>
      <c r="AL36" s="529"/>
      <c r="AM36" s="49">
        <f>'Synthèse consos annuelles'!L33*'Facteurs d''émissions'!BP34</f>
        <v>0</v>
      </c>
      <c r="AN36" s="532"/>
      <c r="AO36" s="531"/>
      <c r="AP36" s="528"/>
      <c r="AQ36" s="529"/>
      <c r="AR36" s="49">
        <f>'Synthèse consos annuelles'!M33*'Facteurs d''émissions'!BW34</f>
        <v>0</v>
      </c>
      <c r="AS36" s="532"/>
      <c r="AT36" s="531"/>
      <c r="AU36" s="528"/>
      <c r="AV36" s="529"/>
      <c r="AW36" s="49">
        <f>'Synthèse consos annuelles'!N33*'Facteurs d''émissions'!CF34</f>
        <v>0</v>
      </c>
      <c r="AX36" s="532"/>
      <c r="AY36" s="531"/>
      <c r="AZ36" s="528"/>
      <c r="BA36" s="529"/>
      <c r="BB36" s="49">
        <f>'Synthèse consos annuelles'!O33*'Facteurs d''émissions'!CO34</f>
        <v>0</v>
      </c>
    </row>
    <row r="37" spans="1:54" ht="65.099999999999994" customHeight="1">
      <c r="A37" s="542"/>
      <c r="B37" s="573"/>
      <c r="C37" s="573"/>
      <c r="D37" s="52" t="s">
        <v>85</v>
      </c>
      <c r="E37" s="527"/>
      <c r="F37" s="528"/>
      <c r="G37" s="528"/>
      <c r="H37" s="529"/>
      <c r="I37" s="35">
        <f>SUM(I26:I36)</f>
        <v>164.51489543344468</v>
      </c>
      <c r="J37" s="527"/>
      <c r="K37" s="528"/>
      <c r="L37" s="528"/>
      <c r="M37" s="529"/>
      <c r="N37" s="35">
        <f>SUM(N26:N36)</f>
        <v>163.92078777447932</v>
      </c>
      <c r="O37" s="527"/>
      <c r="P37" s="528"/>
      <c r="Q37" s="528"/>
      <c r="R37" s="529"/>
      <c r="S37" s="35">
        <f>SUM(S26:S36)</f>
        <v>158.05919941478527</v>
      </c>
      <c r="T37" s="522"/>
      <c r="U37" s="531"/>
      <c r="V37" s="528"/>
      <c r="W37" s="529"/>
      <c r="X37" s="35">
        <f>SUM(X26:X36)</f>
        <v>0</v>
      </c>
      <c r="Y37" s="522"/>
      <c r="Z37" s="531"/>
      <c r="AA37" s="528"/>
      <c r="AB37" s="529"/>
      <c r="AC37" s="35">
        <f>SUM(AC26:AC36)</f>
        <v>0</v>
      </c>
      <c r="AD37" s="522"/>
      <c r="AE37" s="531"/>
      <c r="AF37" s="528"/>
      <c r="AG37" s="529"/>
      <c r="AH37" s="35">
        <f>SUM(AH26:AH36)</f>
        <v>0</v>
      </c>
      <c r="AI37" s="522"/>
      <c r="AJ37" s="531"/>
      <c r="AK37" s="528"/>
      <c r="AL37" s="529"/>
      <c r="AM37" s="35">
        <f>SUM(AM26:AM36)</f>
        <v>0</v>
      </c>
      <c r="AN37" s="522"/>
      <c r="AO37" s="531"/>
      <c r="AP37" s="528"/>
      <c r="AQ37" s="529"/>
      <c r="AR37" s="35">
        <f>SUM(AR26:AR36)</f>
        <v>0</v>
      </c>
      <c r="AS37" s="522"/>
      <c r="AT37" s="531"/>
      <c r="AU37" s="528"/>
      <c r="AV37" s="529"/>
      <c r="AW37" s="35">
        <f>SUM(AW26:AW36)</f>
        <v>0</v>
      </c>
      <c r="AX37" s="522"/>
      <c r="AY37" s="531"/>
      <c r="AZ37" s="528"/>
      <c r="BA37" s="529"/>
      <c r="BB37" s="35">
        <f>SUM(BB26:BB36)</f>
        <v>0</v>
      </c>
    </row>
    <row r="38" spans="1:54" ht="20.7" customHeight="1">
      <c r="A38" s="53"/>
      <c r="B38" s="563" t="s">
        <v>86</v>
      </c>
      <c r="C38" s="541"/>
      <c r="D38" s="542"/>
      <c r="E38" s="533"/>
      <c r="F38" s="534"/>
      <c r="G38" s="534"/>
      <c r="H38" s="535"/>
      <c r="I38" s="41">
        <f>I15+I18+I19+I25+I37</f>
        <v>199.70286670753501</v>
      </c>
      <c r="J38" s="533"/>
      <c r="K38" s="534"/>
      <c r="L38" s="534"/>
      <c r="M38" s="535"/>
      <c r="N38" s="41">
        <f>N15+N18+N19+N25+N37</f>
        <v>935.91985844353405</v>
      </c>
      <c r="O38" s="533"/>
      <c r="P38" s="534"/>
      <c r="Q38" s="534"/>
      <c r="R38" s="535"/>
      <c r="S38" s="41">
        <f>S15+S18+S19+S25+S37</f>
        <v>184.85271291158529</v>
      </c>
      <c r="T38" s="526"/>
      <c r="U38" s="533"/>
      <c r="V38" s="534"/>
      <c r="W38" s="535"/>
      <c r="X38" s="41">
        <f>X15+X18+X19+X25+X37</f>
        <v>4.306</v>
      </c>
      <c r="Y38" s="526"/>
      <c r="Z38" s="533"/>
      <c r="AA38" s="534"/>
      <c r="AB38" s="535"/>
      <c r="AC38" s="41">
        <f>AC15+AC18+AC19+AC25+AC37</f>
        <v>0</v>
      </c>
      <c r="AD38" s="526"/>
      <c r="AE38" s="533"/>
      <c r="AF38" s="534"/>
      <c r="AG38" s="535"/>
      <c r="AH38" s="41">
        <f>AH15+AH18+AH19+AH25+AH37</f>
        <v>0</v>
      </c>
      <c r="AI38" s="526"/>
      <c r="AJ38" s="533"/>
      <c r="AK38" s="534"/>
      <c r="AL38" s="535"/>
      <c r="AM38" s="41">
        <f>AM15+AM18+AM19+AM25+AM37</f>
        <v>0</v>
      </c>
      <c r="AN38" s="526"/>
      <c r="AO38" s="533"/>
      <c r="AP38" s="534"/>
      <c r="AQ38" s="535"/>
      <c r="AR38" s="41">
        <f>AR15+AR18+AR19+AR25+AR37</f>
        <v>0</v>
      </c>
      <c r="AS38" s="526"/>
      <c r="AT38" s="533"/>
      <c r="AU38" s="534"/>
      <c r="AV38" s="535"/>
      <c r="AW38" s="41">
        <f>AW15+AW18+AW19+AW25+AW37</f>
        <v>0</v>
      </c>
      <c r="AX38" s="526"/>
      <c r="AY38" s="533"/>
      <c r="AZ38" s="534"/>
      <c r="BA38" s="535"/>
      <c r="BB38" s="41">
        <f>BB15+BB18+BB19+BB25+BB37</f>
        <v>0</v>
      </c>
    </row>
    <row r="39" spans="1:54" ht="21.75" customHeight="1">
      <c r="A39" s="575"/>
      <c r="B39" s="540"/>
      <c r="C39" s="576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54" ht="21.75" customHeight="1">
      <c r="A40" s="539" t="s">
        <v>87</v>
      </c>
      <c r="B40" s="540"/>
      <c r="C40" s="541"/>
      <c r="D40" s="542"/>
      <c r="E40" s="536"/>
      <c r="F40" s="537"/>
      <c r="G40" s="537"/>
      <c r="H40" s="538"/>
      <c r="I40" s="41">
        <f>SUM(I8,I11,I38)</f>
        <v>302.68800488882528</v>
      </c>
      <c r="J40" s="536"/>
      <c r="K40" s="537"/>
      <c r="L40" s="537"/>
      <c r="M40" s="538"/>
      <c r="N40" s="41">
        <f>SUM(N8,N11,N38)</f>
        <v>1065.0003512648168</v>
      </c>
      <c r="O40" s="536"/>
      <c r="P40" s="537"/>
      <c r="Q40" s="537"/>
      <c r="R40" s="538"/>
      <c r="S40" s="41">
        <f>SUM(S8,S11,S38)</f>
        <v>214.92330111158529</v>
      </c>
      <c r="T40" s="536"/>
      <c r="U40" s="537"/>
      <c r="V40" s="537"/>
      <c r="W40" s="538"/>
      <c r="X40" s="41">
        <f>SUM(X8,X11,X38)</f>
        <v>22.722159999999999</v>
      </c>
      <c r="Y40" s="536"/>
      <c r="Z40" s="537"/>
      <c r="AA40" s="537"/>
      <c r="AB40" s="538"/>
      <c r="AC40" s="41">
        <f>SUM(AC8,AC11,AC38)</f>
        <v>0</v>
      </c>
      <c r="AD40" s="536"/>
      <c r="AE40" s="537"/>
      <c r="AF40" s="537"/>
      <c r="AG40" s="538"/>
      <c r="AH40" s="41">
        <f>SUM(AH8,AH11,AH38)</f>
        <v>0</v>
      </c>
      <c r="AI40" s="536"/>
      <c r="AJ40" s="537"/>
      <c r="AK40" s="537"/>
      <c r="AL40" s="538"/>
      <c r="AM40" s="41">
        <f>SUM(AM8,AM11,AM38)</f>
        <v>0</v>
      </c>
      <c r="AN40" s="536"/>
      <c r="AO40" s="537"/>
      <c r="AP40" s="537"/>
      <c r="AQ40" s="538"/>
      <c r="AR40" s="41">
        <f>SUM(AR8,AR11,AR38)</f>
        <v>0</v>
      </c>
      <c r="AS40" s="536"/>
      <c r="AT40" s="537"/>
      <c r="AU40" s="537"/>
      <c r="AV40" s="538"/>
      <c r="AW40" s="41">
        <f>SUM(AW8,AW11,AW38)</f>
        <v>0</v>
      </c>
      <c r="AX40" s="536"/>
      <c r="AY40" s="537"/>
      <c r="AZ40" s="537"/>
      <c r="BA40" s="538"/>
      <c r="BB40" s="41">
        <f>SUM(BB8,BB11,BB38)</f>
        <v>0</v>
      </c>
    </row>
  </sheetData>
  <sheetProtection algorithmName="SHA-512" hashValue="dg2iHTLFmgxdh+1beFtm94ZWji51ciD2VC6dZkuFrc6fATi4jZ6r9ImmrI0JjesJCpAFgOhZJjMrq4U7l0AkGA==" saltValue="/vLvHgt1032DD308RaaflQ==" spinCount="100000" sheet="1" objects="1" scenarios="1"/>
  <mergeCells count="51">
    <mergeCell ref="A5:A7"/>
    <mergeCell ref="A39:C39"/>
    <mergeCell ref="A2:A4"/>
    <mergeCell ref="B2:B4"/>
    <mergeCell ref="E2:H2"/>
    <mergeCell ref="Y9:AB38"/>
    <mergeCell ref="AD9:AG38"/>
    <mergeCell ref="AI9:AL38"/>
    <mergeCell ref="J2:M2"/>
    <mergeCell ref="O2:R2"/>
    <mergeCell ref="T2:W2"/>
    <mergeCell ref="Y2:AB2"/>
    <mergeCell ref="AD2:AG2"/>
    <mergeCell ref="J1:N1"/>
    <mergeCell ref="A1:D1"/>
    <mergeCell ref="B8:D8"/>
    <mergeCell ref="B11:D11"/>
    <mergeCell ref="B38:D38"/>
    <mergeCell ref="C12:C15"/>
    <mergeCell ref="B12:B15"/>
    <mergeCell ref="C16:C18"/>
    <mergeCell ref="B16:B18"/>
    <mergeCell ref="C20:C25"/>
    <mergeCell ref="B20:B25"/>
    <mergeCell ref="A12:A37"/>
    <mergeCell ref="B26:B37"/>
    <mergeCell ref="C26:C37"/>
    <mergeCell ref="J9:M38"/>
    <mergeCell ref="E9:H38"/>
    <mergeCell ref="A40:D40"/>
    <mergeCell ref="C2:D4"/>
    <mergeCell ref="A9:A10"/>
    <mergeCell ref="AN2:AQ2"/>
    <mergeCell ref="AN9:AQ38"/>
    <mergeCell ref="AN40:AQ40"/>
    <mergeCell ref="AD40:AG40"/>
    <mergeCell ref="AI40:AL40"/>
    <mergeCell ref="E40:H40"/>
    <mergeCell ref="J40:M40"/>
    <mergeCell ref="O40:R40"/>
    <mergeCell ref="T40:W40"/>
    <mergeCell ref="Y40:AB40"/>
    <mergeCell ref="AI2:AL2"/>
    <mergeCell ref="O9:R38"/>
    <mergeCell ref="T9:W38"/>
    <mergeCell ref="AS2:AV2"/>
    <mergeCell ref="AS9:AV38"/>
    <mergeCell ref="AS40:AV40"/>
    <mergeCell ref="AX2:BA2"/>
    <mergeCell ref="AX9:BA38"/>
    <mergeCell ref="AX40:BA40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showGridLines="0" workbookViewId="0">
      <pane xSplit="5" ySplit="2" topLeftCell="F3" activePane="bottomRight" state="frozen"/>
      <selection pane="topRight"/>
      <selection pane="bottomLeft"/>
      <selection pane="bottomRight" activeCell="F4" sqref="F4"/>
    </sheetView>
  </sheetViews>
  <sheetFormatPr baseColWidth="10" defaultColWidth="16.33203125" defaultRowHeight="19.95" customHeight="1"/>
  <cols>
    <col min="1" max="1" width="13.5546875" style="56" customWidth="1"/>
    <col min="2" max="2" width="3.6640625" style="56" customWidth="1"/>
    <col min="3" max="3" width="24.5546875" style="56" customWidth="1"/>
    <col min="4" max="5" width="16.33203125" style="56" customWidth="1"/>
    <col min="6" max="15" width="12.44140625" style="56" customWidth="1"/>
    <col min="16" max="256" width="16.33203125" style="56" customWidth="1"/>
  </cols>
  <sheetData>
    <row r="1" spans="1:15" ht="37.65" customHeight="1">
      <c r="A1" s="557" t="s">
        <v>88</v>
      </c>
      <c r="B1" s="558"/>
      <c r="C1" s="558"/>
      <c r="D1" s="558"/>
      <c r="E1" s="559"/>
      <c r="F1" s="577"/>
      <c r="G1" s="578"/>
      <c r="H1" s="578"/>
      <c r="I1" s="578"/>
      <c r="J1" s="578"/>
      <c r="K1" s="578"/>
      <c r="L1" s="578"/>
      <c r="M1" s="361"/>
      <c r="N1" s="361"/>
      <c r="O1" s="361"/>
    </row>
    <row r="2" spans="1:15" ht="31.65" customHeight="1">
      <c r="A2" s="57" t="s">
        <v>89</v>
      </c>
      <c r="B2" s="58" t="s">
        <v>30</v>
      </c>
      <c r="C2" s="58" t="s">
        <v>31</v>
      </c>
      <c r="D2" s="58" t="s">
        <v>90</v>
      </c>
      <c r="E2" s="59" t="s">
        <v>91</v>
      </c>
      <c r="F2" s="60">
        <v>2016</v>
      </c>
      <c r="G2" s="61">
        <v>2017</v>
      </c>
      <c r="H2" s="61">
        <v>2018</v>
      </c>
      <c r="I2" s="61">
        <v>2019</v>
      </c>
      <c r="J2" s="61">
        <v>2020</v>
      </c>
      <c r="K2" s="61">
        <v>2021</v>
      </c>
      <c r="L2" s="61">
        <v>2022</v>
      </c>
      <c r="M2" s="61">
        <v>2023</v>
      </c>
      <c r="N2" s="61">
        <v>2024</v>
      </c>
      <c r="O2" s="62">
        <v>2025</v>
      </c>
    </row>
    <row r="3" spans="1:15" ht="30.75" customHeight="1">
      <c r="A3" s="586" t="s">
        <v>46</v>
      </c>
      <c r="B3" s="63">
        <v>1</v>
      </c>
      <c r="C3" s="64" t="s">
        <v>47</v>
      </c>
      <c r="D3" s="65"/>
      <c r="E3" s="66"/>
      <c r="F3" s="67"/>
      <c r="G3" s="68"/>
      <c r="H3" s="68"/>
      <c r="I3" s="68"/>
      <c r="J3" s="68"/>
      <c r="K3" s="68"/>
      <c r="L3" s="68"/>
      <c r="M3" s="68"/>
      <c r="N3" s="68"/>
      <c r="O3" s="69"/>
    </row>
    <row r="4" spans="1:15" ht="63" customHeight="1">
      <c r="A4" s="587"/>
      <c r="B4" s="70">
        <v>2</v>
      </c>
      <c r="C4" s="71" t="s">
        <v>48</v>
      </c>
      <c r="D4" s="71" t="s">
        <v>92</v>
      </c>
      <c r="E4" s="72" t="s">
        <v>93</v>
      </c>
      <c r="F4" s="73">
        <f>SUMPRODUCT('Infos ISTerre'!$D$20:$D$25,'Infos ISTerre'!E20:E25)</f>
        <v>0</v>
      </c>
      <c r="G4" s="74">
        <f>SUMPRODUCT('Infos ISTerre'!$D$20:$D$25,'Infos ISTerre'!F20:F25)</f>
        <v>4788.8780000000006</v>
      </c>
      <c r="H4" s="74">
        <f>SUMPRODUCT('Infos ISTerre'!$D$20:$D$25,'Infos ISTerre'!G20:G25)</f>
        <v>4596.24</v>
      </c>
      <c r="I4" s="74">
        <f>SUMPRODUCT('Infos ISTerre'!$D$20:$D$25,'Infos ISTerre'!H20:H25)</f>
        <v>0</v>
      </c>
      <c r="J4" s="74">
        <f>SUMPRODUCT('Infos ISTerre'!$D$20:$D$25,'Infos ISTerre'!I20:I25)</f>
        <v>0</v>
      </c>
      <c r="K4" s="74">
        <f>SUMPRODUCT('Infos ISTerre'!$D$20:$D$25,'Infos ISTerre'!J20:J25)</f>
        <v>0</v>
      </c>
      <c r="L4" s="74">
        <f>SUMPRODUCT('Infos ISTerre'!$D$20:$D$25,'Infos ISTerre'!K20:K25)</f>
        <v>0</v>
      </c>
      <c r="M4" s="74">
        <f>SUMPRODUCT('Infos ISTerre'!$D$20:$D$25,'Infos ISTerre'!L20:L25)</f>
        <v>0</v>
      </c>
      <c r="N4" s="74">
        <f>SUMPRODUCT('Infos ISTerre'!$D$20:$D$25,'Infos ISTerre'!M20:M25)</f>
        <v>0</v>
      </c>
      <c r="O4" s="75">
        <f>SUMPRODUCT('Infos ISTerre'!$D$20:$D$25,'Infos ISTerre'!N20:N25)</f>
        <v>0</v>
      </c>
    </row>
    <row r="5" spans="1:15" ht="19.95" customHeight="1">
      <c r="A5" s="588"/>
      <c r="B5" s="76">
        <v>4</v>
      </c>
      <c r="C5" s="77" t="s">
        <v>50</v>
      </c>
      <c r="D5" s="77" t="s">
        <v>51</v>
      </c>
      <c r="E5" s="78" t="s">
        <v>91</v>
      </c>
      <c r="F5" s="79">
        <f>'Infos ISTerre'!C37</f>
        <v>14</v>
      </c>
      <c r="G5" s="80">
        <f>'Infos ISTerre'!D37</f>
        <v>14</v>
      </c>
      <c r="H5" s="80">
        <f>'Infos ISTerre'!E37</f>
        <v>14</v>
      </c>
      <c r="I5" s="80">
        <f>'Infos ISTerre'!F37</f>
        <v>14</v>
      </c>
      <c r="J5" s="80">
        <f>'Infos ISTerre'!G37</f>
        <v>0</v>
      </c>
      <c r="K5" s="80">
        <f>'Infos ISTerre'!H37</f>
        <v>0</v>
      </c>
      <c r="L5" s="80">
        <f>'Infos ISTerre'!I37</f>
        <v>0</v>
      </c>
      <c r="M5" s="80">
        <f>'Infos ISTerre'!J37</f>
        <v>0</v>
      </c>
      <c r="N5" s="80">
        <f>'Infos ISTerre'!K37</f>
        <v>0</v>
      </c>
      <c r="O5" s="81">
        <f>'Infos ISTerre'!L37</f>
        <v>0</v>
      </c>
    </row>
    <row r="6" spans="1:15" ht="41.85" customHeight="1">
      <c r="A6" s="591" t="s">
        <v>53</v>
      </c>
      <c r="B6" s="82">
        <v>6</v>
      </c>
      <c r="C6" s="83" t="s">
        <v>54</v>
      </c>
      <c r="D6" s="83" t="s">
        <v>94</v>
      </c>
      <c r="E6" s="84" t="s">
        <v>95</v>
      </c>
      <c r="F6" s="67">
        <f>'Consommation Électricité'!B24+'Consommation Électricité'!B36+SUM('Consommation Électricité'!B30:B31)</f>
        <v>631353</v>
      </c>
      <c r="G6" s="68">
        <f>'Consommation Électricité'!C24+'Consommation Électricité'!C36+SUM('Consommation Électricité'!C30:C31)</f>
        <v>606667.83971962612</v>
      </c>
      <c r="H6" s="68">
        <f>'Consommation Électricité'!D24+'Consommation Électricité'!D36+SUM('Consommation Électricité'!D30:D31)</f>
        <v>3942</v>
      </c>
      <c r="I6" s="68">
        <f>'Consommation Électricité'!E24+'Consommation Électricité'!E36+SUM('Consommation Électricité'!E30:E31)</f>
        <v>3942</v>
      </c>
      <c r="J6" s="68">
        <f>'Consommation Électricité'!F24+'Consommation Électricité'!F36+SUM('Consommation Électricité'!F30:F31)</f>
        <v>0</v>
      </c>
      <c r="K6" s="68">
        <f>'Consommation Électricité'!G24+'Consommation Électricité'!G36+SUM('Consommation Électricité'!G30:G31)</f>
        <v>0</v>
      </c>
      <c r="L6" s="68">
        <f>'Consommation Électricité'!H24+'Consommation Électricité'!H36+SUM('Consommation Électricité'!H30:H31)</f>
        <v>0</v>
      </c>
      <c r="M6" s="68">
        <f>'Consommation Électricité'!I24+'Consommation Électricité'!I36+SUM('Consommation Électricité'!I30:I31)</f>
        <v>0</v>
      </c>
      <c r="N6" s="68">
        <f>'Consommation Électricité'!J24+'Consommation Électricité'!J36+SUM('Consommation Électricité'!J30:J31)</f>
        <v>0</v>
      </c>
      <c r="O6" s="69">
        <f>'Consommation Électricité'!K24+'Consommation Électricité'!K36+SUM('Consommation Électricité'!K30:K31)</f>
        <v>0</v>
      </c>
    </row>
    <row r="7" spans="1:15" ht="41.85" customHeight="1">
      <c r="A7" s="592"/>
      <c r="B7" s="85">
        <v>7</v>
      </c>
      <c r="C7" s="86" t="s">
        <v>56</v>
      </c>
      <c r="D7" s="86" t="s">
        <v>96</v>
      </c>
      <c r="E7" s="87" t="s">
        <v>95</v>
      </c>
      <c r="F7" s="79">
        <f>'Consommation Gaz'!B15+SUM('Consommation Gaz'!B22:B23)</f>
        <v>403650.50580645131</v>
      </c>
      <c r="G7" s="80">
        <f>'Consommation Gaz'!C15+SUM('Consommation Gaz'!C22:C23)</f>
        <v>492514.11782487761</v>
      </c>
      <c r="H7" s="80">
        <f>'Consommation Gaz'!D15+SUM('Consommation Gaz'!D22:D23)</f>
        <v>0</v>
      </c>
      <c r="I7" s="80">
        <f>'Consommation Gaz'!E15+SUM('Consommation Gaz'!E22:E23)</f>
        <v>0</v>
      </c>
      <c r="J7" s="80">
        <f>'Consommation Gaz'!F15+SUM('Consommation Gaz'!F22:F23)</f>
        <v>0</v>
      </c>
      <c r="K7" s="80">
        <f>'Consommation Gaz'!G15+SUM('Consommation Gaz'!G22:G23)</f>
        <v>0</v>
      </c>
      <c r="L7" s="80">
        <f>'Consommation Gaz'!H15+SUM('Consommation Gaz'!H22:H23)</f>
        <v>0</v>
      </c>
      <c r="M7" s="80">
        <f>'Consommation Gaz'!I15+SUM('Consommation Gaz'!I22:I23)</f>
        <v>0</v>
      </c>
      <c r="N7" s="80">
        <f>'Consommation Gaz'!J15+SUM('Consommation Gaz'!J22:J23)</f>
        <v>0</v>
      </c>
      <c r="O7" s="81">
        <f>'Consommation Gaz'!K15+SUM('Consommation Gaz'!K22:K23)</f>
        <v>0</v>
      </c>
    </row>
    <row r="8" spans="1:15" ht="30.75" customHeight="1">
      <c r="A8" s="589" t="s">
        <v>59</v>
      </c>
      <c r="B8" s="583">
        <v>8</v>
      </c>
      <c r="C8" s="585" t="s">
        <v>60</v>
      </c>
      <c r="D8" s="88" t="s">
        <v>96</v>
      </c>
      <c r="E8" s="89" t="s">
        <v>95</v>
      </c>
      <c r="F8" s="67">
        <f t="shared" ref="F8:O8" si="0">F7</f>
        <v>403650.50580645131</v>
      </c>
      <c r="G8" s="68">
        <f t="shared" si="0"/>
        <v>492514.11782487761</v>
      </c>
      <c r="H8" s="68">
        <f t="shared" si="0"/>
        <v>0</v>
      </c>
      <c r="I8" s="68">
        <f t="shared" si="0"/>
        <v>0</v>
      </c>
      <c r="J8" s="68">
        <f t="shared" si="0"/>
        <v>0</v>
      </c>
      <c r="K8" s="68">
        <f t="shared" si="0"/>
        <v>0</v>
      </c>
      <c r="L8" s="68">
        <f t="shared" si="0"/>
        <v>0</v>
      </c>
      <c r="M8" s="68">
        <f t="shared" si="0"/>
        <v>0</v>
      </c>
      <c r="N8" s="68">
        <f t="shared" si="0"/>
        <v>0</v>
      </c>
      <c r="O8" s="69">
        <f t="shared" si="0"/>
        <v>0</v>
      </c>
    </row>
    <row r="9" spans="1:15" ht="63" customHeight="1">
      <c r="A9" s="587"/>
      <c r="B9" s="584"/>
      <c r="C9" s="584"/>
      <c r="D9" s="90" t="s">
        <v>92</v>
      </c>
      <c r="E9" s="91" t="s">
        <v>93</v>
      </c>
      <c r="F9" s="73">
        <f t="shared" ref="F9:O9" si="1">F4</f>
        <v>0</v>
      </c>
      <c r="G9" s="74">
        <f t="shared" si="1"/>
        <v>4788.8780000000006</v>
      </c>
      <c r="H9" s="74">
        <f t="shared" si="1"/>
        <v>4596.24</v>
      </c>
      <c r="I9" s="74">
        <f t="shared" si="1"/>
        <v>0</v>
      </c>
      <c r="J9" s="74">
        <f t="shared" si="1"/>
        <v>0</v>
      </c>
      <c r="K9" s="74">
        <f t="shared" si="1"/>
        <v>0</v>
      </c>
      <c r="L9" s="74">
        <f t="shared" si="1"/>
        <v>0</v>
      </c>
      <c r="M9" s="74">
        <f t="shared" si="1"/>
        <v>0</v>
      </c>
      <c r="N9" s="74">
        <f t="shared" si="1"/>
        <v>0</v>
      </c>
      <c r="O9" s="75">
        <f t="shared" si="1"/>
        <v>0</v>
      </c>
    </row>
    <row r="10" spans="1:15" ht="41.25" customHeight="1">
      <c r="A10" s="587"/>
      <c r="B10" s="584"/>
      <c r="C10" s="584"/>
      <c r="D10" s="92" t="s">
        <v>94</v>
      </c>
      <c r="E10" s="93" t="s">
        <v>95</v>
      </c>
      <c r="F10" s="94">
        <f t="shared" ref="F10:O10" si="2">F6</f>
        <v>631353</v>
      </c>
      <c r="G10" s="95">
        <f t="shared" si="2"/>
        <v>606667.83971962612</v>
      </c>
      <c r="H10" s="95">
        <f t="shared" si="2"/>
        <v>3942</v>
      </c>
      <c r="I10" s="95">
        <f t="shared" si="2"/>
        <v>3942</v>
      </c>
      <c r="J10" s="95">
        <f t="shared" si="2"/>
        <v>0</v>
      </c>
      <c r="K10" s="95">
        <f t="shared" si="2"/>
        <v>0</v>
      </c>
      <c r="L10" s="95">
        <f t="shared" si="2"/>
        <v>0</v>
      </c>
      <c r="M10" s="95">
        <f t="shared" si="2"/>
        <v>0</v>
      </c>
      <c r="N10" s="95">
        <f t="shared" si="2"/>
        <v>0</v>
      </c>
      <c r="O10" s="96">
        <f t="shared" si="2"/>
        <v>0</v>
      </c>
    </row>
    <row r="11" spans="1:15" ht="52.35" customHeight="1">
      <c r="A11" s="587"/>
      <c r="B11" s="579">
        <v>9</v>
      </c>
      <c r="C11" s="581" t="s">
        <v>62</v>
      </c>
      <c r="D11" s="358" t="s">
        <v>97</v>
      </c>
      <c r="E11" s="97" t="s">
        <v>95</v>
      </c>
      <c r="F11" s="98">
        <f>'Consommation Électricité'!B6</f>
        <v>126595.01600000005</v>
      </c>
      <c r="G11" s="99">
        <f>'Consommation Électricité'!C6</f>
        <v>248305.01600000006</v>
      </c>
      <c r="H11" s="99">
        <f>'Consommation Électricité'!D6</f>
        <v>126595.01600000005</v>
      </c>
      <c r="I11" s="99">
        <f>'Consommation Électricité'!E6</f>
        <v>41870.016000000003</v>
      </c>
      <c r="J11" s="99">
        <f>'Consommation Électricité'!F6</f>
        <v>0</v>
      </c>
      <c r="K11" s="99">
        <f>'Consommation Électricité'!G6</f>
        <v>0</v>
      </c>
      <c r="L11" s="99">
        <f>'Consommation Électricité'!H6</f>
        <v>0</v>
      </c>
      <c r="M11" s="99">
        <f>'Consommation Électricité'!I6</f>
        <v>0</v>
      </c>
      <c r="N11" s="99">
        <f>'Consommation Électricité'!J6</f>
        <v>0</v>
      </c>
      <c r="O11" s="100">
        <f>'Consommation Électricité'!K6</f>
        <v>0</v>
      </c>
    </row>
    <row r="12" spans="1:15" ht="41.25" customHeight="1">
      <c r="A12" s="587"/>
      <c r="B12" s="580"/>
      <c r="C12" s="580"/>
      <c r="D12" s="92" t="s">
        <v>98</v>
      </c>
      <c r="E12" s="93" t="s">
        <v>95</v>
      </c>
      <c r="F12" s="94">
        <f>'Consommation Électricité'!B7</f>
        <v>0</v>
      </c>
      <c r="G12" s="95">
        <f>'Consommation Électricité'!C7</f>
        <v>868200</v>
      </c>
      <c r="H12" s="95">
        <f>'Consommation Électricité'!D7</f>
        <v>0</v>
      </c>
      <c r="I12" s="95">
        <f>'Consommation Électricité'!E7</f>
        <v>0</v>
      </c>
      <c r="J12" s="95">
        <f>'Consommation Électricité'!F7</f>
        <v>0</v>
      </c>
      <c r="K12" s="95">
        <f>'Consommation Électricité'!G7</f>
        <v>0</v>
      </c>
      <c r="L12" s="95">
        <f>'Consommation Électricité'!H7</f>
        <v>0</v>
      </c>
      <c r="M12" s="95">
        <f>'Consommation Électricité'!I7</f>
        <v>0</v>
      </c>
      <c r="N12" s="95">
        <f>'Consommation Électricité'!J7</f>
        <v>0</v>
      </c>
      <c r="O12" s="96">
        <f>'Consommation Électricité'!K7</f>
        <v>0</v>
      </c>
    </row>
    <row r="13" spans="1:15" ht="30.45" customHeight="1">
      <c r="A13" s="587"/>
      <c r="B13" s="579">
        <v>10</v>
      </c>
      <c r="C13" s="581" t="s">
        <v>66</v>
      </c>
      <c r="D13" s="358" t="s">
        <v>99</v>
      </c>
      <c r="E13" s="97" t="s">
        <v>91</v>
      </c>
      <c r="F13" s="98">
        <f>'Infos ISTerre'!C28</f>
        <v>0</v>
      </c>
      <c r="G13" s="99">
        <f>'Infos ISTerre'!D28</f>
        <v>39</v>
      </c>
      <c r="H13" s="99">
        <f>'Infos ISTerre'!E28</f>
        <v>0</v>
      </c>
      <c r="I13" s="99">
        <f>'Infos ISTerre'!F28</f>
        <v>0</v>
      </c>
      <c r="J13" s="99">
        <f>'Infos ISTerre'!G28</f>
        <v>0</v>
      </c>
      <c r="K13" s="99">
        <f>'Infos ISTerre'!H28</f>
        <v>0</v>
      </c>
      <c r="L13" s="99">
        <f>'Infos ISTerre'!I28</f>
        <v>0</v>
      </c>
      <c r="M13" s="99">
        <f>'Infos ISTerre'!J28</f>
        <v>0</v>
      </c>
      <c r="N13" s="99">
        <f>'Infos ISTerre'!K28</f>
        <v>0</v>
      </c>
      <c r="O13" s="100">
        <f>'Infos ISTerre'!L28</f>
        <v>0</v>
      </c>
    </row>
    <row r="14" spans="1:15" ht="18.899999999999999" customHeight="1">
      <c r="A14" s="587"/>
      <c r="B14" s="582"/>
      <c r="C14" s="582"/>
      <c r="D14" s="90" t="s">
        <v>100</v>
      </c>
      <c r="E14" s="91" t="s">
        <v>91</v>
      </c>
      <c r="F14" s="73">
        <f>'Infos ISTerre'!C29</f>
        <v>0</v>
      </c>
      <c r="G14" s="74">
        <f>'Infos ISTerre'!D29</f>
        <v>3</v>
      </c>
      <c r="H14" s="74">
        <f>'Infos ISTerre'!E29</f>
        <v>0</v>
      </c>
      <c r="I14" s="74">
        <f>'Infos ISTerre'!F29</f>
        <v>0</v>
      </c>
      <c r="J14" s="74">
        <f>'Infos ISTerre'!G29</f>
        <v>0</v>
      </c>
      <c r="K14" s="74">
        <f>'Infos ISTerre'!H29</f>
        <v>0</v>
      </c>
      <c r="L14" s="74">
        <f>'Infos ISTerre'!I29</f>
        <v>0</v>
      </c>
      <c r="M14" s="74">
        <f>'Infos ISTerre'!J29</f>
        <v>0</v>
      </c>
      <c r="N14" s="74">
        <f>'Infos ISTerre'!K29</f>
        <v>0</v>
      </c>
      <c r="O14" s="75">
        <f>'Infos ISTerre'!L29</f>
        <v>0</v>
      </c>
    </row>
    <row r="15" spans="1:15" ht="18.899999999999999" customHeight="1">
      <c r="A15" s="587"/>
      <c r="B15" s="582"/>
      <c r="C15" s="582"/>
      <c r="D15" s="90" t="s">
        <v>101</v>
      </c>
      <c r="E15" s="91" t="s">
        <v>91</v>
      </c>
      <c r="F15" s="73">
        <f>'Infos ISTerre'!C30</f>
        <v>0</v>
      </c>
      <c r="G15" s="74">
        <f>'Infos ISTerre'!D30</f>
        <v>42</v>
      </c>
      <c r="H15" s="74">
        <f>'Infos ISTerre'!E30</f>
        <v>49</v>
      </c>
      <c r="I15" s="74">
        <f>'Infos ISTerre'!F30</f>
        <v>0</v>
      </c>
      <c r="J15" s="74">
        <f>'Infos ISTerre'!G30</f>
        <v>0</v>
      </c>
      <c r="K15" s="74">
        <f>'Infos ISTerre'!H30</f>
        <v>0</v>
      </c>
      <c r="L15" s="74">
        <f>'Infos ISTerre'!I30</f>
        <v>0</v>
      </c>
      <c r="M15" s="74">
        <f>'Infos ISTerre'!J30</f>
        <v>0</v>
      </c>
      <c r="N15" s="74">
        <f>'Infos ISTerre'!K30</f>
        <v>0</v>
      </c>
      <c r="O15" s="75">
        <f>'Infos ISTerre'!L30</f>
        <v>0</v>
      </c>
    </row>
    <row r="16" spans="1:15" ht="18.899999999999999" customHeight="1">
      <c r="A16" s="587"/>
      <c r="B16" s="582"/>
      <c r="C16" s="582"/>
      <c r="D16" s="90" t="s">
        <v>102</v>
      </c>
      <c r="E16" s="91" t="s">
        <v>91</v>
      </c>
      <c r="F16" s="73">
        <f>'Infos ISTerre'!C32</f>
        <v>1.4</v>
      </c>
      <c r="G16" s="74">
        <f>'Infos ISTerre'!D32</f>
        <v>1.4</v>
      </c>
      <c r="H16" s="74">
        <f>'Infos ISTerre'!E32</f>
        <v>1.4</v>
      </c>
      <c r="I16" s="74">
        <f>'Infos ISTerre'!F32</f>
        <v>1.4</v>
      </c>
      <c r="J16" s="74">
        <f>'Infos ISTerre'!G32</f>
        <v>0</v>
      </c>
      <c r="K16" s="74">
        <f>'Infos ISTerre'!H32</f>
        <v>0</v>
      </c>
      <c r="L16" s="74">
        <f>'Infos ISTerre'!I32</f>
        <v>0</v>
      </c>
      <c r="M16" s="74">
        <f>'Infos ISTerre'!J32</f>
        <v>0</v>
      </c>
      <c r="N16" s="74">
        <f>'Infos ISTerre'!K32</f>
        <v>0</v>
      </c>
      <c r="O16" s="75">
        <f>'Infos ISTerre'!L32</f>
        <v>0</v>
      </c>
    </row>
    <row r="17" spans="1:15" ht="19.350000000000001" customHeight="1">
      <c r="A17" s="587"/>
      <c r="B17" s="580"/>
      <c r="C17" s="580"/>
      <c r="D17" s="92" t="s">
        <v>103</v>
      </c>
      <c r="E17" s="93" t="s">
        <v>91</v>
      </c>
      <c r="F17" s="94">
        <f>'Infos ISTerre'!C34</f>
        <v>1</v>
      </c>
      <c r="G17" s="95">
        <f>'Infos ISTerre'!D34</f>
        <v>1</v>
      </c>
      <c r="H17" s="95">
        <f>'Infos ISTerre'!E34</f>
        <v>1</v>
      </c>
      <c r="I17" s="95">
        <f>'Infos ISTerre'!F34</f>
        <v>1</v>
      </c>
      <c r="J17" s="95">
        <f>'Infos ISTerre'!G34</f>
        <v>0</v>
      </c>
      <c r="K17" s="95">
        <f>'Infos ISTerre'!H34</f>
        <v>0</v>
      </c>
      <c r="L17" s="95">
        <f>'Infos ISTerre'!I34</f>
        <v>0</v>
      </c>
      <c r="M17" s="95">
        <f>'Infos ISTerre'!J34</f>
        <v>0</v>
      </c>
      <c r="N17" s="95">
        <f>'Infos ISTerre'!K34</f>
        <v>0</v>
      </c>
      <c r="O17" s="96">
        <f>'Infos ISTerre'!L34</f>
        <v>0</v>
      </c>
    </row>
    <row r="18" spans="1:15" ht="19.350000000000001" customHeight="1">
      <c r="A18" s="587"/>
      <c r="B18" s="579">
        <v>13</v>
      </c>
      <c r="C18" s="581" t="s">
        <v>68</v>
      </c>
      <c r="D18" s="358" t="s">
        <v>69</v>
      </c>
      <c r="E18" s="97" t="s">
        <v>104</v>
      </c>
      <c r="F18" s="98">
        <f>IF('Déplacements professionnels'!B3-SUM('Infos ISTerre'!E$20:E$25)&lt;0,0,'Déplacements professionnels'!B3-SUM('Infos ISTerre'!E$20:E$25))</f>
        <v>0</v>
      </c>
      <c r="G18" s="99">
        <f>IF('Déplacements professionnels'!C3-SUM('Infos ISTerre'!F$20:F$25)&lt;0,0,'Déplacements professionnels'!C3-SUM('Infos ISTerre'!F$20:F$25))</f>
        <v>150291</v>
      </c>
      <c r="H18" s="99">
        <f>IF('Déplacements professionnels'!D3-SUM('Infos ISTerre'!G$20:G$25)&lt;0,0,'Déplacements professionnels'!D3-SUM('Infos ISTerre'!G$20:G$25))</f>
        <v>0</v>
      </c>
      <c r="I18" s="99">
        <f>IF('Déplacements professionnels'!E3-SUM('Infos ISTerre'!H$20:H$25)&lt;0,0,'Déplacements professionnels'!E3-SUM('Infos ISTerre'!H$20:H$25))</f>
        <v>0</v>
      </c>
      <c r="J18" s="99">
        <f>IF('Déplacements professionnels'!F3-SUM('Infos ISTerre'!I$20:I$25)&lt;0,0,'Déplacements professionnels'!F3-SUM('Infos ISTerre'!I$20:I$25))</f>
        <v>0</v>
      </c>
      <c r="K18" s="99">
        <f>IF('Déplacements professionnels'!G3-SUM('Infos ISTerre'!J$20:J$25)&lt;0,0,'Déplacements professionnels'!G3-SUM('Infos ISTerre'!J$20:J$25))</f>
        <v>0</v>
      </c>
      <c r="L18" s="99">
        <f>IF('Déplacements professionnels'!H3-SUM('Infos ISTerre'!K$20:K$25)&lt;0,0,'Déplacements professionnels'!H3-SUM('Infos ISTerre'!K$20:K$25))</f>
        <v>0</v>
      </c>
      <c r="M18" s="99">
        <f>IF('Déplacements professionnels'!I3-SUM('Infos ISTerre'!L$20:L$25)&lt;0,0,'Déplacements professionnels'!I3-SUM('Infos ISTerre'!L$20:L$25))</f>
        <v>0</v>
      </c>
      <c r="N18" s="99">
        <f>IF('Déplacements professionnels'!J3-SUM('Infos ISTerre'!M$20:M$25)&lt;0,0,'Déplacements professionnels'!J3-SUM('Infos ISTerre'!M$20:M$25))</f>
        <v>0</v>
      </c>
      <c r="O18" s="100">
        <f>IF('Déplacements professionnels'!K3-SUM('Infos ISTerre'!N$20:N$25)&lt;0,0,'Déplacements professionnels'!K3-SUM('Infos ISTerre'!N$20:N$25))</f>
        <v>0</v>
      </c>
    </row>
    <row r="19" spans="1:15" ht="18.899999999999999" customHeight="1">
      <c r="A19" s="587"/>
      <c r="B19" s="582"/>
      <c r="C19" s="582"/>
      <c r="D19" s="90" t="s">
        <v>105</v>
      </c>
      <c r="E19" s="91" t="s">
        <v>104</v>
      </c>
      <c r="F19" s="73">
        <f>'Déplacements professionnels'!B4</f>
        <v>0</v>
      </c>
      <c r="G19" s="74">
        <f>'Déplacements professionnels'!C4</f>
        <v>2195535</v>
      </c>
      <c r="H19" s="74">
        <f>'Déplacements professionnels'!D4</f>
        <v>0</v>
      </c>
      <c r="I19" s="74">
        <f>'Déplacements professionnels'!E4</f>
        <v>0</v>
      </c>
      <c r="J19" s="74">
        <f>'Déplacements professionnels'!F4</f>
        <v>0</v>
      </c>
      <c r="K19" s="74">
        <f>'Déplacements professionnels'!G4</f>
        <v>0</v>
      </c>
      <c r="L19" s="74">
        <f>'Déplacements professionnels'!H4</f>
        <v>0</v>
      </c>
      <c r="M19" s="74">
        <f>'Déplacements professionnels'!I4</f>
        <v>0</v>
      </c>
      <c r="N19" s="74">
        <f>'Déplacements professionnels'!J4</f>
        <v>0</v>
      </c>
      <c r="O19" s="75">
        <f>'Déplacements professionnels'!K4</f>
        <v>0</v>
      </c>
    </row>
    <row r="20" spans="1:15" ht="30" customHeight="1">
      <c r="A20" s="587"/>
      <c r="B20" s="582"/>
      <c r="C20" s="582"/>
      <c r="D20" s="90" t="s">
        <v>106</v>
      </c>
      <c r="E20" s="91" t="s">
        <v>104</v>
      </c>
      <c r="F20" s="73">
        <f>'Déplacements professionnels'!B5</f>
        <v>0</v>
      </c>
      <c r="G20" s="74">
        <f>'Déplacements professionnels'!C5</f>
        <v>398358</v>
      </c>
      <c r="H20" s="74">
        <f>'Déplacements professionnels'!D5</f>
        <v>0</v>
      </c>
      <c r="I20" s="74">
        <f>'Déplacements professionnels'!E5</f>
        <v>0</v>
      </c>
      <c r="J20" s="74">
        <f>'Déplacements professionnels'!F5</f>
        <v>0</v>
      </c>
      <c r="K20" s="74">
        <f>'Déplacements professionnels'!G5</f>
        <v>0</v>
      </c>
      <c r="L20" s="74">
        <f>'Déplacements professionnels'!H5</f>
        <v>0</v>
      </c>
      <c r="M20" s="74">
        <f>'Déplacements professionnels'!I5</f>
        <v>0</v>
      </c>
      <c r="N20" s="74">
        <f>'Déplacements professionnels'!J5</f>
        <v>0</v>
      </c>
      <c r="O20" s="75">
        <f>'Déplacements professionnels'!K5</f>
        <v>0</v>
      </c>
    </row>
    <row r="21" spans="1:15" ht="18.899999999999999" customHeight="1">
      <c r="A21" s="587"/>
      <c r="B21" s="582"/>
      <c r="C21" s="582"/>
      <c r="D21" s="90" t="s">
        <v>72</v>
      </c>
      <c r="E21" s="91" t="s">
        <v>104</v>
      </c>
      <c r="F21" s="73">
        <f>'Déplacements professionnels'!B6</f>
        <v>0</v>
      </c>
      <c r="G21" s="74">
        <f>'Déplacements professionnels'!C6</f>
        <v>243486</v>
      </c>
      <c r="H21" s="74">
        <f>'Déplacements professionnels'!D6</f>
        <v>0</v>
      </c>
      <c r="I21" s="74">
        <f>'Déplacements professionnels'!E6</f>
        <v>0</v>
      </c>
      <c r="J21" s="74">
        <f>'Déplacements professionnels'!F6</f>
        <v>0</v>
      </c>
      <c r="K21" s="74">
        <f>'Déplacements professionnels'!G6</f>
        <v>0</v>
      </c>
      <c r="L21" s="74">
        <f>'Déplacements professionnels'!H6</f>
        <v>0</v>
      </c>
      <c r="M21" s="74">
        <f>'Déplacements professionnels'!I6</f>
        <v>0</v>
      </c>
      <c r="N21" s="74">
        <f>'Déplacements professionnels'!J6</f>
        <v>0</v>
      </c>
      <c r="O21" s="75">
        <f>'Déplacements professionnels'!K6</f>
        <v>0</v>
      </c>
    </row>
    <row r="22" spans="1:15" ht="19.350000000000001" customHeight="1">
      <c r="A22" s="587"/>
      <c r="B22" s="580"/>
      <c r="C22" s="580"/>
      <c r="D22" s="92" t="s">
        <v>73</v>
      </c>
      <c r="E22" s="93" t="s">
        <v>104</v>
      </c>
      <c r="F22" s="94">
        <f>'Déplacements professionnels'!B7</f>
        <v>0</v>
      </c>
      <c r="G22" s="95">
        <f>'Déplacements professionnels'!C7</f>
        <v>76611.899999999994</v>
      </c>
      <c r="H22" s="95">
        <f>'Déplacements professionnels'!D7</f>
        <v>0</v>
      </c>
      <c r="I22" s="95">
        <f>'Déplacements professionnels'!E7</f>
        <v>0</v>
      </c>
      <c r="J22" s="95">
        <f>'Déplacements professionnels'!F7</f>
        <v>0</v>
      </c>
      <c r="K22" s="95">
        <f>'Déplacements professionnels'!G7</f>
        <v>0</v>
      </c>
      <c r="L22" s="95">
        <f>'Déplacements professionnels'!H7</f>
        <v>0</v>
      </c>
      <c r="M22" s="95">
        <f>'Déplacements professionnels'!I7</f>
        <v>0</v>
      </c>
      <c r="N22" s="95">
        <f>'Déplacements professionnels'!J7</f>
        <v>0</v>
      </c>
      <c r="O22" s="96">
        <f>'Déplacements professionnels'!K7</f>
        <v>0</v>
      </c>
    </row>
    <row r="23" spans="1:15" ht="19.350000000000001" customHeight="1">
      <c r="A23" s="587"/>
      <c r="B23" s="579">
        <v>22</v>
      </c>
      <c r="C23" s="581" t="s">
        <v>75</v>
      </c>
      <c r="D23" s="358" t="s">
        <v>76</v>
      </c>
      <c r="E23" s="97" t="s">
        <v>95</v>
      </c>
      <c r="F23" s="98">
        <f>'Déplacements domicile-travail'!C4*0.006583</f>
        <v>294.06574476190485</v>
      </c>
      <c r="G23" s="99">
        <f>'Déplacements domicile-travail'!D4*0.006583</f>
        <v>302.54841047619033</v>
      </c>
      <c r="H23" s="99">
        <f>'Déplacements domicile-travail'!E4*0.006583</f>
        <v>305.37596571428554</v>
      </c>
      <c r="I23" s="99">
        <f>'Déplacements domicile-travail'!F4*0.006583</f>
        <v>0</v>
      </c>
      <c r="J23" s="99">
        <f>'Déplacements domicile-travail'!G4*0.006583</f>
        <v>0</v>
      </c>
      <c r="K23" s="99">
        <f>'Déplacements domicile-travail'!H4*0.006583</f>
        <v>0</v>
      </c>
      <c r="L23" s="99">
        <f>'Déplacements domicile-travail'!I4*0.006583</f>
        <v>0</v>
      </c>
      <c r="M23" s="99">
        <f>'Déplacements domicile-travail'!J4*0.006583</f>
        <v>0</v>
      </c>
      <c r="N23" s="99">
        <f>'Déplacements domicile-travail'!K4*0.006583</f>
        <v>0</v>
      </c>
      <c r="O23" s="100">
        <f>'Déplacements domicile-travail'!L4*0.006583</f>
        <v>0</v>
      </c>
    </row>
    <row r="24" spans="1:15" ht="30" customHeight="1">
      <c r="A24" s="587"/>
      <c r="B24" s="582"/>
      <c r="C24" s="582"/>
      <c r="D24" s="90" t="s">
        <v>77</v>
      </c>
      <c r="E24" s="91" t="s">
        <v>95</v>
      </c>
      <c r="F24" s="73">
        <f>'Déplacements domicile-travail'!C5*0.0142</f>
        <v>0</v>
      </c>
      <c r="G24" s="74">
        <f>'Déplacements domicile-travail'!D5*0.0142</f>
        <v>0</v>
      </c>
      <c r="H24" s="74">
        <f>'Déplacements domicile-travail'!E5*0.0142</f>
        <v>0</v>
      </c>
      <c r="I24" s="74">
        <f>'Déplacements domicile-travail'!F5*0.0142</f>
        <v>0</v>
      </c>
      <c r="J24" s="74">
        <f>'Déplacements domicile-travail'!G5*0.0142</f>
        <v>0</v>
      </c>
      <c r="K24" s="74">
        <f>'Déplacements domicile-travail'!H5*0.0142</f>
        <v>0</v>
      </c>
      <c r="L24" s="74">
        <f>'Déplacements domicile-travail'!I5*0.0142</f>
        <v>0</v>
      </c>
      <c r="M24" s="74">
        <f>'Déplacements domicile-travail'!J5*0.0142</f>
        <v>0</v>
      </c>
      <c r="N24" s="74">
        <f>'Déplacements domicile-travail'!K5*0.0142</f>
        <v>0</v>
      </c>
      <c r="O24" s="75">
        <f>'Déplacements domicile-travail'!L5*0.0142</f>
        <v>0</v>
      </c>
    </row>
    <row r="25" spans="1:15" ht="30" customHeight="1">
      <c r="A25" s="587"/>
      <c r="B25" s="582"/>
      <c r="C25" s="582"/>
      <c r="D25" s="90" t="s">
        <v>78</v>
      </c>
      <c r="E25" s="91" t="s">
        <v>104</v>
      </c>
      <c r="F25" s="73">
        <f>'Déplacements domicile-travail'!C6</f>
        <v>541.46031746031701</v>
      </c>
      <c r="G25" s="74">
        <f>'Déplacements domicile-travail'!D6</f>
        <v>557.07936507936495</v>
      </c>
      <c r="H25" s="74">
        <f>'Déplacements domicile-travail'!E6</f>
        <v>562.28571428571399</v>
      </c>
      <c r="I25" s="74">
        <f>'Déplacements domicile-travail'!F6</f>
        <v>0</v>
      </c>
      <c r="J25" s="74">
        <f>'Déplacements domicile-travail'!G6</f>
        <v>0</v>
      </c>
      <c r="K25" s="74">
        <f>'Déplacements domicile-travail'!H6</f>
        <v>0</v>
      </c>
      <c r="L25" s="74">
        <f>'Déplacements domicile-travail'!I6</f>
        <v>0</v>
      </c>
      <c r="M25" s="74">
        <f>'Déplacements domicile-travail'!J6</f>
        <v>0</v>
      </c>
      <c r="N25" s="74">
        <f>'Déplacements domicile-travail'!K6</f>
        <v>0</v>
      </c>
      <c r="O25" s="75">
        <f>'Déplacements domicile-travail'!L6</f>
        <v>0</v>
      </c>
    </row>
    <row r="26" spans="1:15" ht="18.899999999999999" customHeight="1">
      <c r="A26" s="587"/>
      <c r="B26" s="582"/>
      <c r="C26" s="582"/>
      <c r="D26" s="90" t="s">
        <v>79</v>
      </c>
      <c r="E26" s="91" t="s">
        <v>104</v>
      </c>
      <c r="F26" s="73">
        <f>'Déplacements domicile-travail'!C7</f>
        <v>148097.792063492</v>
      </c>
      <c r="G26" s="74">
        <f>'Déplacements domicile-travail'!D7</f>
        <v>150261.61587301601</v>
      </c>
      <c r="H26" s="74">
        <f>'Déplacements domicile-travail'!E7</f>
        <v>145197.10714285701</v>
      </c>
      <c r="I26" s="74">
        <f>'Déplacements domicile-travail'!F7</f>
        <v>0</v>
      </c>
      <c r="J26" s="74">
        <f>'Déplacements domicile-travail'!G7</f>
        <v>0</v>
      </c>
      <c r="K26" s="74">
        <f>'Déplacements domicile-travail'!H7</f>
        <v>0</v>
      </c>
      <c r="L26" s="74">
        <f>'Déplacements domicile-travail'!I7</f>
        <v>0</v>
      </c>
      <c r="M26" s="74">
        <f>'Déplacements domicile-travail'!J7</f>
        <v>0</v>
      </c>
      <c r="N26" s="74">
        <f>'Déplacements domicile-travail'!K7</f>
        <v>0</v>
      </c>
      <c r="O26" s="75">
        <f>'Déplacements domicile-travail'!L7</f>
        <v>0</v>
      </c>
    </row>
    <row r="27" spans="1:15" ht="18.899999999999999" customHeight="1">
      <c r="A27" s="587"/>
      <c r="B27" s="582"/>
      <c r="C27" s="582"/>
      <c r="D27" s="90" t="s">
        <v>80</v>
      </c>
      <c r="E27" s="91" t="s">
        <v>104</v>
      </c>
      <c r="F27" s="73">
        <f>'Déplacements domicile-travail'!C8</f>
        <v>478329.26587301597</v>
      </c>
      <c r="G27" s="74">
        <f>'Déplacements domicile-travail'!D8</f>
        <v>473187.18253968301</v>
      </c>
      <c r="H27" s="74">
        <f>'Déplacements domicile-travail'!E8</f>
        <v>455184.196428572</v>
      </c>
      <c r="I27" s="74">
        <f>'Déplacements domicile-travail'!F8</f>
        <v>0</v>
      </c>
      <c r="J27" s="74">
        <f>'Déplacements domicile-travail'!G8</f>
        <v>0</v>
      </c>
      <c r="K27" s="74">
        <f>'Déplacements domicile-travail'!H8</f>
        <v>0</v>
      </c>
      <c r="L27" s="74">
        <f>'Déplacements domicile-travail'!I8</f>
        <v>0</v>
      </c>
      <c r="M27" s="74">
        <f>'Déplacements domicile-travail'!J8</f>
        <v>0</v>
      </c>
      <c r="N27" s="74">
        <f>'Déplacements domicile-travail'!K8</f>
        <v>0</v>
      </c>
      <c r="O27" s="75">
        <f>'Déplacements domicile-travail'!L8</f>
        <v>0</v>
      </c>
    </row>
    <row r="28" spans="1:15" ht="18.899999999999999" customHeight="1">
      <c r="A28" s="587"/>
      <c r="B28" s="582"/>
      <c r="C28" s="582"/>
      <c r="D28" s="90" t="s">
        <v>81</v>
      </c>
      <c r="E28" s="91" t="s">
        <v>107</v>
      </c>
      <c r="F28" s="73">
        <f>'Déplacements domicile-travail'!C9*0.085</f>
        <v>0</v>
      </c>
      <c r="G28" s="74">
        <f>'Déplacements domicile-travail'!D9*0.085</f>
        <v>0</v>
      </c>
      <c r="H28" s="74">
        <f>'Déplacements domicile-travail'!E9*0.085</f>
        <v>0</v>
      </c>
      <c r="I28" s="74">
        <f>'Déplacements domicile-travail'!F9*0.085</f>
        <v>0</v>
      </c>
      <c r="J28" s="74">
        <f>'Déplacements domicile-travail'!G9*0.085</f>
        <v>0</v>
      </c>
      <c r="K28" s="74">
        <f>'Déplacements domicile-travail'!H9*0.085</f>
        <v>0</v>
      </c>
      <c r="L28" s="74">
        <f>'Déplacements domicile-travail'!I9*0.085</f>
        <v>0</v>
      </c>
      <c r="M28" s="74">
        <f>'Déplacements domicile-travail'!J9*0.085</f>
        <v>0</v>
      </c>
      <c r="N28" s="74">
        <f>'Déplacements domicile-travail'!K9*0.085</f>
        <v>0</v>
      </c>
      <c r="O28" s="75">
        <f>'Déplacements domicile-travail'!L9*0.085</f>
        <v>0</v>
      </c>
    </row>
    <row r="29" spans="1:15" ht="18.899999999999999" customHeight="1">
      <c r="A29" s="587"/>
      <c r="B29" s="582"/>
      <c r="C29" s="582"/>
      <c r="D29" s="90" t="s">
        <v>82</v>
      </c>
      <c r="E29" s="91" t="s">
        <v>104</v>
      </c>
      <c r="F29" s="73">
        <f>'Déplacements domicile-travail'!C10</f>
        <v>13536.5079365079</v>
      </c>
      <c r="G29" s="74">
        <f>'Déplacements domicile-travail'!D10</f>
        <v>13926.9841269841</v>
      </c>
      <c r="H29" s="74">
        <f>'Déplacements domicile-travail'!E10</f>
        <v>14057.142857142901</v>
      </c>
      <c r="I29" s="74">
        <f>'Déplacements domicile-travail'!F10</f>
        <v>0</v>
      </c>
      <c r="J29" s="74">
        <f>'Déplacements domicile-travail'!G10</f>
        <v>0</v>
      </c>
      <c r="K29" s="74">
        <f>'Déplacements domicile-travail'!H10</f>
        <v>0</v>
      </c>
      <c r="L29" s="74">
        <f>'Déplacements domicile-travail'!I10</f>
        <v>0</v>
      </c>
      <c r="M29" s="74">
        <f>'Déplacements domicile-travail'!J10</f>
        <v>0</v>
      </c>
      <c r="N29" s="74">
        <f>'Déplacements domicile-travail'!K10</f>
        <v>0</v>
      </c>
      <c r="O29" s="75">
        <f>'Déplacements domicile-travail'!L10</f>
        <v>0</v>
      </c>
    </row>
    <row r="30" spans="1:15" ht="18.899999999999999" customHeight="1">
      <c r="A30" s="587"/>
      <c r="B30" s="582"/>
      <c r="C30" s="582"/>
      <c r="D30" s="90" t="s">
        <v>83</v>
      </c>
      <c r="E30" s="91" t="s">
        <v>104</v>
      </c>
      <c r="F30" s="73">
        <f>'Déplacements domicile-travail'!C11</f>
        <v>0</v>
      </c>
      <c r="G30" s="74">
        <f>'Déplacements domicile-travail'!D11</f>
        <v>0</v>
      </c>
      <c r="H30" s="74">
        <f>'Déplacements domicile-travail'!E11</f>
        <v>0</v>
      </c>
      <c r="I30" s="74">
        <f>'Déplacements domicile-travail'!F11</f>
        <v>0</v>
      </c>
      <c r="J30" s="74">
        <f>'Déplacements domicile-travail'!G11</f>
        <v>0</v>
      </c>
      <c r="K30" s="74">
        <f>'Déplacements domicile-travail'!H11</f>
        <v>0</v>
      </c>
      <c r="L30" s="74">
        <f>'Déplacements domicile-travail'!I11</f>
        <v>0</v>
      </c>
      <c r="M30" s="74">
        <f>'Déplacements domicile-travail'!J11</f>
        <v>0</v>
      </c>
      <c r="N30" s="74">
        <f>'Déplacements domicile-travail'!K11</f>
        <v>0</v>
      </c>
      <c r="O30" s="75">
        <f>'Déplacements domicile-travail'!L11</f>
        <v>0</v>
      </c>
    </row>
    <row r="31" spans="1:15" ht="18.899999999999999" customHeight="1">
      <c r="A31" s="587"/>
      <c r="B31" s="582"/>
      <c r="C31" s="582"/>
      <c r="D31" s="90" t="s">
        <v>73</v>
      </c>
      <c r="E31" s="91" t="s">
        <v>104</v>
      </c>
      <c r="F31" s="73">
        <f>'Déplacements domicile-travail'!C12</f>
        <v>18274.285714285699</v>
      </c>
      <c r="G31" s="74">
        <f>'Déplacements domicile-travail'!D12</f>
        <v>18801.428571428602</v>
      </c>
      <c r="H31" s="74">
        <f>'Déplacements domicile-travail'!E12</f>
        <v>18977.142857142899</v>
      </c>
      <c r="I31" s="74">
        <f>'Déplacements domicile-travail'!F12</f>
        <v>0</v>
      </c>
      <c r="J31" s="74">
        <f>'Déplacements domicile-travail'!G12</f>
        <v>0</v>
      </c>
      <c r="K31" s="74">
        <f>'Déplacements domicile-travail'!H12</f>
        <v>0</v>
      </c>
      <c r="L31" s="74">
        <f>'Déplacements domicile-travail'!I12</f>
        <v>0</v>
      </c>
      <c r="M31" s="74">
        <f>'Déplacements domicile-travail'!J12</f>
        <v>0</v>
      </c>
      <c r="N31" s="74">
        <f>'Déplacements domicile-travail'!K12</f>
        <v>0</v>
      </c>
      <c r="O31" s="75">
        <f>'Déplacements domicile-travail'!L12</f>
        <v>0</v>
      </c>
    </row>
    <row r="32" spans="1:15" ht="18.899999999999999" customHeight="1">
      <c r="A32" s="587"/>
      <c r="B32" s="582"/>
      <c r="C32" s="582"/>
      <c r="D32" s="90" t="s">
        <v>84</v>
      </c>
      <c r="E32" s="91" t="s">
        <v>104</v>
      </c>
      <c r="F32" s="73">
        <f>'Déplacements domicile-travail'!C13</f>
        <v>55219.841269841199</v>
      </c>
      <c r="G32" s="74">
        <f>'Déplacements domicile-travail'!D13</f>
        <v>55715.746031745999</v>
      </c>
      <c r="H32" s="74">
        <f>'Déplacements domicile-travail'!E13</f>
        <v>52983.714285714203</v>
      </c>
      <c r="I32" s="74">
        <f>'Déplacements domicile-travail'!F13</f>
        <v>0</v>
      </c>
      <c r="J32" s="74">
        <f>'Déplacements domicile-travail'!G13</f>
        <v>0</v>
      </c>
      <c r="K32" s="74">
        <f>'Déplacements domicile-travail'!H13</f>
        <v>0</v>
      </c>
      <c r="L32" s="74">
        <f>'Déplacements domicile-travail'!I13</f>
        <v>0</v>
      </c>
      <c r="M32" s="74">
        <f>'Déplacements domicile-travail'!J13</f>
        <v>0</v>
      </c>
      <c r="N32" s="74">
        <f>'Déplacements domicile-travail'!K13</f>
        <v>0</v>
      </c>
      <c r="O32" s="75">
        <f>'Déplacements domicile-travail'!L13</f>
        <v>0</v>
      </c>
    </row>
    <row r="33" spans="1:15" ht="19.95" customHeight="1">
      <c r="A33" s="588"/>
      <c r="B33" s="590"/>
      <c r="C33" s="590"/>
      <c r="D33" s="101" t="s">
        <v>72</v>
      </c>
      <c r="E33" s="102" t="s">
        <v>104</v>
      </c>
      <c r="F33" s="79">
        <f>'Déplacements domicile-travail'!C14</f>
        <v>156566.30952380999</v>
      </c>
      <c r="G33" s="80">
        <f>'Déplacements domicile-travail'!D14</f>
        <v>157488.80952380999</v>
      </c>
      <c r="H33" s="80">
        <f>'Déplacements domicile-travail'!E14</f>
        <v>151304.64285714299</v>
      </c>
      <c r="I33" s="80">
        <f>'Déplacements domicile-travail'!F14</f>
        <v>0</v>
      </c>
      <c r="J33" s="80">
        <f>'Déplacements domicile-travail'!G14</f>
        <v>0</v>
      </c>
      <c r="K33" s="80">
        <f>'Déplacements domicile-travail'!H14</f>
        <v>0</v>
      </c>
      <c r="L33" s="80">
        <f>'Déplacements domicile-travail'!I14</f>
        <v>0</v>
      </c>
      <c r="M33" s="80">
        <f>'Déplacements domicile-travail'!J14</f>
        <v>0</v>
      </c>
      <c r="N33" s="80">
        <f>'Déplacements domicile-travail'!K14</f>
        <v>0</v>
      </c>
      <c r="O33" s="81">
        <f>'Déplacements domicile-travail'!L14</f>
        <v>0</v>
      </c>
    </row>
  </sheetData>
  <mergeCells count="15">
    <mergeCell ref="A3:A5"/>
    <mergeCell ref="A8:A33"/>
    <mergeCell ref="A1:E1"/>
    <mergeCell ref="B23:B33"/>
    <mergeCell ref="C23:C33"/>
    <mergeCell ref="A6:A7"/>
    <mergeCell ref="F1:L1"/>
    <mergeCell ref="B11:B12"/>
    <mergeCell ref="C11:C12"/>
    <mergeCell ref="C18:C22"/>
    <mergeCell ref="B18:B22"/>
    <mergeCell ref="B8:B10"/>
    <mergeCell ref="C8:C10"/>
    <mergeCell ref="C13:C17"/>
    <mergeCell ref="B13:B17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4"/>
  <sheetViews>
    <sheetView showGridLines="0" zoomScaleNormal="100" workbookViewId="0">
      <pane xSplit="5" ySplit="4" topLeftCell="F5" activePane="bottomRight" state="frozen"/>
      <selection pane="topRight"/>
      <selection pane="bottomLeft"/>
      <selection pane="bottomRight" activeCell="F5" sqref="F5"/>
    </sheetView>
  </sheetViews>
  <sheetFormatPr baseColWidth="10" defaultColWidth="16.33203125" defaultRowHeight="19.95" customHeight="1"/>
  <cols>
    <col min="1" max="1" width="12.5546875" style="103" customWidth="1"/>
    <col min="2" max="2" width="3.33203125" style="103" customWidth="1"/>
    <col min="3" max="3" width="21.33203125" style="103" customWidth="1"/>
    <col min="4" max="4" width="14.109375" style="103" customWidth="1"/>
    <col min="5" max="5" width="17.109375" style="103" customWidth="1"/>
    <col min="6" max="9" width="8.33203125" style="103" customWidth="1"/>
    <col min="10" max="10" width="12" style="103" customWidth="1"/>
    <col min="11" max="11" width="10.5546875" style="103" customWidth="1"/>
    <col min="12" max="12" width="9.44140625" style="103" customWidth="1"/>
    <col min="13" max="14" width="10.5546875" style="103" customWidth="1"/>
    <col min="15" max="18" width="8.33203125" style="103" customWidth="1"/>
    <col min="19" max="19" width="11.88671875" style="103" customWidth="1"/>
    <col min="20" max="23" width="10.5546875" style="103" customWidth="1"/>
    <col min="24" max="27" width="8.33203125" style="103" customWidth="1"/>
    <col min="28" max="28" width="11.44140625" style="103" customWidth="1"/>
    <col min="29" max="32" width="10.5546875" style="103" customWidth="1"/>
    <col min="33" max="36" width="8.33203125" style="103" customWidth="1"/>
    <col min="37" max="41" width="10.5546875" style="103" customWidth="1"/>
    <col min="42" max="45" width="8.33203125" style="103" customWidth="1"/>
    <col min="46" max="50" width="10.5546875" style="103" customWidth="1"/>
    <col min="51" max="54" width="8.33203125" style="103" customWidth="1"/>
    <col min="55" max="59" width="10.5546875" style="103" customWidth="1"/>
    <col min="60" max="63" width="8.33203125" style="103" customWidth="1"/>
    <col min="64" max="95" width="10.5546875" style="103" customWidth="1"/>
    <col min="96" max="256" width="16.33203125" style="103" customWidth="1"/>
  </cols>
  <sheetData>
    <row r="1" spans="1:95" ht="23.7" customHeight="1">
      <c r="A1" s="629" t="s">
        <v>108</v>
      </c>
      <c r="B1" s="555"/>
      <c r="C1" s="555"/>
      <c r="D1" s="555"/>
      <c r="E1" s="556"/>
      <c r="F1" s="577"/>
      <c r="G1" s="578"/>
      <c r="H1" s="578"/>
      <c r="I1" s="578"/>
      <c r="J1" s="578"/>
      <c r="K1" s="578"/>
      <c r="L1" s="578"/>
      <c r="M1" s="578"/>
      <c r="N1" s="578"/>
      <c r="O1" s="628"/>
      <c r="P1" s="578"/>
      <c r="Q1" s="578"/>
      <c r="R1" s="578"/>
      <c r="S1" s="578"/>
      <c r="T1" s="578"/>
      <c r="U1" s="578"/>
      <c r="V1" s="578"/>
      <c r="W1" s="578"/>
      <c r="X1" s="628"/>
      <c r="Y1" s="578"/>
      <c r="Z1" s="578"/>
      <c r="AA1" s="578"/>
      <c r="AB1" s="578"/>
      <c r="AC1" s="578"/>
      <c r="AD1" s="578"/>
      <c r="AE1" s="578"/>
      <c r="AF1" s="578"/>
      <c r="AG1" s="628"/>
      <c r="AH1" s="578"/>
      <c r="AI1" s="578"/>
      <c r="AJ1" s="578"/>
      <c r="AK1" s="578"/>
      <c r="AL1" s="578"/>
      <c r="AM1" s="578"/>
      <c r="AN1" s="578"/>
      <c r="AO1" s="578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628"/>
      <c r="BI1" s="578"/>
      <c r="BJ1" s="578"/>
      <c r="BK1" s="578"/>
      <c r="BL1" s="578"/>
      <c r="BM1" s="578"/>
      <c r="BN1" s="578"/>
      <c r="BO1" s="578"/>
      <c r="BP1" s="578"/>
      <c r="BQ1" s="361"/>
      <c r="BR1" s="361"/>
      <c r="BS1" s="361"/>
      <c r="BT1" s="361"/>
      <c r="BU1" s="361"/>
      <c r="BV1" s="361"/>
      <c r="BW1" s="361"/>
      <c r="BX1" s="361"/>
      <c r="BY1" s="361"/>
      <c r="BZ1" s="361"/>
      <c r="CA1" s="361"/>
      <c r="CB1" s="361"/>
      <c r="CC1" s="361"/>
      <c r="CD1" s="361"/>
      <c r="CE1" s="361"/>
      <c r="CF1" s="361"/>
      <c r="CG1" s="361"/>
      <c r="CH1" s="361"/>
      <c r="CI1" s="361"/>
      <c r="CJ1" s="361"/>
      <c r="CK1" s="361"/>
      <c r="CL1" s="361"/>
      <c r="CM1" s="361"/>
      <c r="CN1" s="361"/>
      <c r="CO1" s="361"/>
      <c r="CP1" s="361"/>
      <c r="CQ1" s="361"/>
    </row>
    <row r="2" spans="1:95" ht="21.75" customHeight="1">
      <c r="A2" s="634" t="s">
        <v>29</v>
      </c>
      <c r="B2" s="636" t="s">
        <v>30</v>
      </c>
      <c r="C2" s="636" t="s">
        <v>31</v>
      </c>
      <c r="D2" s="636" t="s">
        <v>109</v>
      </c>
      <c r="E2" s="638" t="s">
        <v>110</v>
      </c>
      <c r="F2" s="593">
        <v>2016</v>
      </c>
      <c r="G2" s="560"/>
      <c r="H2" s="560"/>
      <c r="I2" s="560"/>
      <c r="J2" s="560"/>
      <c r="K2" s="560"/>
      <c r="L2" s="560"/>
      <c r="M2" s="560"/>
      <c r="N2" s="560"/>
      <c r="O2" s="593">
        <v>2017</v>
      </c>
      <c r="P2" s="560"/>
      <c r="Q2" s="560"/>
      <c r="R2" s="560"/>
      <c r="S2" s="560"/>
      <c r="T2" s="560"/>
      <c r="U2" s="560"/>
      <c r="V2" s="560"/>
      <c r="W2" s="560"/>
      <c r="X2" s="593">
        <v>2018</v>
      </c>
      <c r="Y2" s="560"/>
      <c r="Z2" s="560"/>
      <c r="AA2" s="560"/>
      <c r="AB2" s="560"/>
      <c r="AC2" s="560"/>
      <c r="AD2" s="560"/>
      <c r="AE2" s="560"/>
      <c r="AF2" s="560"/>
      <c r="AG2" s="593">
        <v>2019</v>
      </c>
      <c r="AH2" s="560"/>
      <c r="AI2" s="560"/>
      <c r="AJ2" s="560"/>
      <c r="AK2" s="560"/>
      <c r="AL2" s="560"/>
      <c r="AM2" s="560"/>
      <c r="AN2" s="560"/>
      <c r="AO2" s="560"/>
      <c r="AP2" s="593">
        <v>2020</v>
      </c>
      <c r="AQ2" s="560"/>
      <c r="AR2" s="560"/>
      <c r="AS2" s="560"/>
      <c r="AT2" s="560"/>
      <c r="AU2" s="560"/>
      <c r="AV2" s="560"/>
      <c r="AW2" s="560"/>
      <c r="AX2" s="560"/>
      <c r="AY2" s="593">
        <v>2021</v>
      </c>
      <c r="AZ2" s="560"/>
      <c r="BA2" s="560"/>
      <c r="BB2" s="560"/>
      <c r="BC2" s="560"/>
      <c r="BD2" s="560"/>
      <c r="BE2" s="560"/>
      <c r="BF2" s="560"/>
      <c r="BG2" s="560"/>
      <c r="BH2" s="593">
        <v>2022</v>
      </c>
      <c r="BI2" s="560"/>
      <c r="BJ2" s="560"/>
      <c r="BK2" s="560"/>
      <c r="BL2" s="560"/>
      <c r="BM2" s="560"/>
      <c r="BN2" s="560"/>
      <c r="BO2" s="560"/>
      <c r="BP2" s="560"/>
      <c r="BQ2" s="593">
        <v>2023</v>
      </c>
      <c r="BR2" s="560"/>
      <c r="BS2" s="560"/>
      <c r="BT2" s="560"/>
      <c r="BU2" s="560"/>
      <c r="BV2" s="560"/>
      <c r="BW2" s="560"/>
      <c r="BX2" s="560"/>
      <c r="BY2" s="560"/>
      <c r="BZ2" s="593">
        <v>2024</v>
      </c>
      <c r="CA2" s="560"/>
      <c r="CB2" s="560"/>
      <c r="CC2" s="560"/>
      <c r="CD2" s="560"/>
      <c r="CE2" s="560"/>
      <c r="CF2" s="560"/>
      <c r="CG2" s="560"/>
      <c r="CH2" s="560"/>
      <c r="CI2" s="593">
        <v>2025</v>
      </c>
      <c r="CJ2" s="560"/>
      <c r="CK2" s="560"/>
      <c r="CL2" s="560"/>
      <c r="CM2" s="560"/>
      <c r="CN2" s="560"/>
      <c r="CO2" s="560"/>
      <c r="CP2" s="560"/>
      <c r="CQ2" s="560"/>
    </row>
    <row r="3" spans="1:95" ht="19.95" customHeight="1">
      <c r="A3" s="635"/>
      <c r="B3" s="637"/>
      <c r="C3" s="637"/>
      <c r="D3" s="637"/>
      <c r="E3" s="639"/>
      <c r="F3" s="611" t="s">
        <v>39</v>
      </c>
      <c r="G3" s="606" t="s">
        <v>40</v>
      </c>
      <c r="H3" s="606" t="s">
        <v>41</v>
      </c>
      <c r="I3" s="606" t="s">
        <v>111</v>
      </c>
      <c r="J3" s="606" t="s">
        <v>112</v>
      </c>
      <c r="K3" s="607"/>
      <c r="L3" s="606" t="s">
        <v>113</v>
      </c>
      <c r="M3" s="606" t="s">
        <v>114</v>
      </c>
      <c r="N3" s="609" t="s">
        <v>115</v>
      </c>
      <c r="O3" s="611" t="s">
        <v>39</v>
      </c>
      <c r="P3" s="606" t="s">
        <v>40</v>
      </c>
      <c r="Q3" s="606" t="s">
        <v>41</v>
      </c>
      <c r="R3" s="606" t="s">
        <v>111</v>
      </c>
      <c r="S3" s="606" t="s">
        <v>112</v>
      </c>
      <c r="T3" s="607"/>
      <c r="U3" s="606" t="s">
        <v>113</v>
      </c>
      <c r="V3" s="606" t="s">
        <v>114</v>
      </c>
      <c r="W3" s="609" t="s">
        <v>115</v>
      </c>
      <c r="X3" s="611" t="s">
        <v>39</v>
      </c>
      <c r="Y3" s="606" t="s">
        <v>40</v>
      </c>
      <c r="Z3" s="606" t="s">
        <v>41</v>
      </c>
      <c r="AA3" s="606" t="s">
        <v>111</v>
      </c>
      <c r="AB3" s="606" t="s">
        <v>112</v>
      </c>
      <c r="AC3" s="607"/>
      <c r="AD3" s="606" t="s">
        <v>113</v>
      </c>
      <c r="AE3" s="606" t="s">
        <v>114</v>
      </c>
      <c r="AF3" s="609" t="s">
        <v>115</v>
      </c>
      <c r="AG3" s="611" t="s">
        <v>39</v>
      </c>
      <c r="AH3" s="606" t="s">
        <v>40</v>
      </c>
      <c r="AI3" s="606" t="s">
        <v>41</v>
      </c>
      <c r="AJ3" s="606" t="s">
        <v>111</v>
      </c>
      <c r="AK3" s="606" t="s">
        <v>112</v>
      </c>
      <c r="AL3" s="607"/>
      <c r="AM3" s="606" t="s">
        <v>113</v>
      </c>
      <c r="AN3" s="606" t="s">
        <v>114</v>
      </c>
      <c r="AO3" s="609" t="s">
        <v>115</v>
      </c>
      <c r="AP3" s="611" t="s">
        <v>39</v>
      </c>
      <c r="AQ3" s="606" t="s">
        <v>40</v>
      </c>
      <c r="AR3" s="606" t="s">
        <v>41</v>
      </c>
      <c r="AS3" s="606" t="s">
        <v>111</v>
      </c>
      <c r="AT3" s="606" t="s">
        <v>112</v>
      </c>
      <c r="AU3" s="607"/>
      <c r="AV3" s="606" t="s">
        <v>113</v>
      </c>
      <c r="AW3" s="606" t="s">
        <v>114</v>
      </c>
      <c r="AX3" s="609" t="s">
        <v>115</v>
      </c>
      <c r="AY3" s="611" t="s">
        <v>39</v>
      </c>
      <c r="AZ3" s="606" t="s">
        <v>40</v>
      </c>
      <c r="BA3" s="606" t="s">
        <v>41</v>
      </c>
      <c r="BB3" s="606" t="s">
        <v>111</v>
      </c>
      <c r="BC3" s="606" t="s">
        <v>112</v>
      </c>
      <c r="BD3" s="607"/>
      <c r="BE3" s="606" t="s">
        <v>113</v>
      </c>
      <c r="BF3" s="606" t="s">
        <v>114</v>
      </c>
      <c r="BG3" s="609" t="s">
        <v>115</v>
      </c>
      <c r="BH3" s="611" t="s">
        <v>39</v>
      </c>
      <c r="BI3" s="606" t="s">
        <v>40</v>
      </c>
      <c r="BJ3" s="606" t="s">
        <v>41</v>
      </c>
      <c r="BK3" s="606" t="s">
        <v>111</v>
      </c>
      <c r="BL3" s="606" t="s">
        <v>112</v>
      </c>
      <c r="BM3" s="607"/>
      <c r="BN3" s="606" t="s">
        <v>113</v>
      </c>
      <c r="BO3" s="606" t="s">
        <v>114</v>
      </c>
      <c r="BP3" s="609" t="s">
        <v>115</v>
      </c>
      <c r="BQ3" s="611" t="s">
        <v>39</v>
      </c>
      <c r="BR3" s="606" t="s">
        <v>40</v>
      </c>
      <c r="BS3" s="606" t="s">
        <v>41</v>
      </c>
      <c r="BT3" s="606" t="s">
        <v>111</v>
      </c>
      <c r="BU3" s="606" t="s">
        <v>112</v>
      </c>
      <c r="BV3" s="607"/>
      <c r="BW3" s="606" t="s">
        <v>113</v>
      </c>
      <c r="BX3" s="606" t="s">
        <v>114</v>
      </c>
      <c r="BY3" s="609" t="s">
        <v>115</v>
      </c>
      <c r="BZ3" s="611" t="s">
        <v>39</v>
      </c>
      <c r="CA3" s="606" t="s">
        <v>40</v>
      </c>
      <c r="CB3" s="606" t="s">
        <v>41</v>
      </c>
      <c r="CC3" s="606" t="s">
        <v>111</v>
      </c>
      <c r="CD3" s="606" t="s">
        <v>112</v>
      </c>
      <c r="CE3" s="607"/>
      <c r="CF3" s="606" t="s">
        <v>113</v>
      </c>
      <c r="CG3" s="606" t="s">
        <v>114</v>
      </c>
      <c r="CH3" s="609" t="s">
        <v>115</v>
      </c>
      <c r="CI3" s="611" t="s">
        <v>39</v>
      </c>
      <c r="CJ3" s="606" t="s">
        <v>40</v>
      </c>
      <c r="CK3" s="606" t="s">
        <v>41</v>
      </c>
      <c r="CL3" s="606" t="s">
        <v>111</v>
      </c>
      <c r="CM3" s="606" t="s">
        <v>112</v>
      </c>
      <c r="CN3" s="607"/>
      <c r="CO3" s="606" t="s">
        <v>113</v>
      </c>
      <c r="CP3" s="606" t="s">
        <v>114</v>
      </c>
      <c r="CQ3" s="609" t="s">
        <v>115</v>
      </c>
    </row>
    <row r="4" spans="1:95" ht="21.9" customHeight="1">
      <c r="A4" s="612"/>
      <c r="B4" s="608"/>
      <c r="C4" s="608"/>
      <c r="D4" s="608"/>
      <c r="E4" s="610"/>
      <c r="F4" s="612"/>
      <c r="G4" s="608"/>
      <c r="H4" s="608"/>
      <c r="I4" s="608"/>
      <c r="J4" s="104" t="s">
        <v>91</v>
      </c>
      <c r="K4" s="104" t="s">
        <v>116</v>
      </c>
      <c r="L4" s="608"/>
      <c r="M4" s="608"/>
      <c r="N4" s="610"/>
      <c r="O4" s="612"/>
      <c r="P4" s="608"/>
      <c r="Q4" s="608"/>
      <c r="R4" s="608"/>
      <c r="S4" s="104" t="s">
        <v>91</v>
      </c>
      <c r="T4" s="104" t="s">
        <v>116</v>
      </c>
      <c r="U4" s="608"/>
      <c r="V4" s="608"/>
      <c r="W4" s="610"/>
      <c r="X4" s="612"/>
      <c r="Y4" s="608"/>
      <c r="Z4" s="608"/>
      <c r="AA4" s="608"/>
      <c r="AB4" s="104" t="s">
        <v>91</v>
      </c>
      <c r="AC4" s="104" t="s">
        <v>116</v>
      </c>
      <c r="AD4" s="608"/>
      <c r="AE4" s="608"/>
      <c r="AF4" s="610"/>
      <c r="AG4" s="612"/>
      <c r="AH4" s="608"/>
      <c r="AI4" s="608"/>
      <c r="AJ4" s="608"/>
      <c r="AK4" s="104" t="s">
        <v>91</v>
      </c>
      <c r="AL4" s="104" t="s">
        <v>116</v>
      </c>
      <c r="AM4" s="608"/>
      <c r="AN4" s="608"/>
      <c r="AO4" s="610"/>
      <c r="AP4" s="612"/>
      <c r="AQ4" s="608"/>
      <c r="AR4" s="608"/>
      <c r="AS4" s="608"/>
      <c r="AT4" s="104" t="s">
        <v>91</v>
      </c>
      <c r="AU4" s="104" t="s">
        <v>116</v>
      </c>
      <c r="AV4" s="608"/>
      <c r="AW4" s="608"/>
      <c r="AX4" s="610"/>
      <c r="AY4" s="612"/>
      <c r="AZ4" s="608"/>
      <c r="BA4" s="608"/>
      <c r="BB4" s="608"/>
      <c r="BC4" s="104" t="s">
        <v>91</v>
      </c>
      <c r="BD4" s="104" t="s">
        <v>116</v>
      </c>
      <c r="BE4" s="608"/>
      <c r="BF4" s="608"/>
      <c r="BG4" s="610"/>
      <c r="BH4" s="612"/>
      <c r="BI4" s="608"/>
      <c r="BJ4" s="608"/>
      <c r="BK4" s="608"/>
      <c r="BL4" s="104" t="s">
        <v>91</v>
      </c>
      <c r="BM4" s="104" t="s">
        <v>116</v>
      </c>
      <c r="BN4" s="608"/>
      <c r="BO4" s="608"/>
      <c r="BP4" s="610"/>
      <c r="BQ4" s="612"/>
      <c r="BR4" s="608"/>
      <c r="BS4" s="608"/>
      <c r="BT4" s="608"/>
      <c r="BU4" s="104" t="s">
        <v>91</v>
      </c>
      <c r="BV4" s="104" t="s">
        <v>116</v>
      </c>
      <c r="BW4" s="608"/>
      <c r="BX4" s="608"/>
      <c r="BY4" s="610"/>
      <c r="BZ4" s="612"/>
      <c r="CA4" s="608"/>
      <c r="CB4" s="608"/>
      <c r="CC4" s="608"/>
      <c r="CD4" s="104" t="s">
        <v>91</v>
      </c>
      <c r="CE4" s="104" t="s">
        <v>116</v>
      </c>
      <c r="CF4" s="608"/>
      <c r="CG4" s="608"/>
      <c r="CH4" s="610"/>
      <c r="CI4" s="612"/>
      <c r="CJ4" s="608"/>
      <c r="CK4" s="608"/>
      <c r="CL4" s="608"/>
      <c r="CM4" s="104" t="s">
        <v>91</v>
      </c>
      <c r="CN4" s="104" t="s">
        <v>116</v>
      </c>
      <c r="CO4" s="608"/>
      <c r="CP4" s="608"/>
      <c r="CQ4" s="610"/>
    </row>
    <row r="5" spans="1:95" ht="42.15" customHeight="1">
      <c r="A5" s="586" t="s">
        <v>46</v>
      </c>
      <c r="B5" s="105">
        <v>1</v>
      </c>
      <c r="C5" s="106" t="s">
        <v>47</v>
      </c>
      <c r="D5" s="107"/>
      <c r="E5" s="108"/>
      <c r="F5" s="379"/>
      <c r="G5" s="380"/>
      <c r="H5" s="380"/>
      <c r="I5" s="380"/>
      <c r="J5" s="381"/>
      <c r="K5" s="380"/>
      <c r="L5" s="109">
        <f t="shared" ref="L5:L34" si="0">K5/1000</f>
        <v>0</v>
      </c>
      <c r="M5" s="402"/>
      <c r="N5" s="110">
        <f t="shared" ref="N5:N34" si="1">L5*M5</f>
        <v>0</v>
      </c>
      <c r="O5" s="379"/>
      <c r="P5" s="380"/>
      <c r="Q5" s="380"/>
      <c r="R5" s="380"/>
      <c r="S5" s="381"/>
      <c r="T5" s="380"/>
      <c r="U5" s="109">
        <f t="shared" ref="U5:U34" si="2">T5/1000</f>
        <v>0</v>
      </c>
      <c r="V5" s="402"/>
      <c r="W5" s="110">
        <f t="shared" ref="W5:W34" si="3">U5*V5</f>
        <v>0</v>
      </c>
      <c r="X5" s="379"/>
      <c r="Y5" s="380"/>
      <c r="Z5" s="380"/>
      <c r="AA5" s="380"/>
      <c r="AB5" s="381"/>
      <c r="AC5" s="380"/>
      <c r="AD5" s="109">
        <f t="shared" ref="AD5:AD34" si="4">AC5/1000</f>
        <v>0</v>
      </c>
      <c r="AE5" s="402"/>
      <c r="AF5" s="110">
        <f t="shared" ref="AF5:AF34" si="5">AD5*AE5</f>
        <v>0</v>
      </c>
      <c r="AG5" s="379"/>
      <c r="AH5" s="380"/>
      <c r="AI5" s="380"/>
      <c r="AJ5" s="380"/>
      <c r="AK5" s="412"/>
      <c r="AL5" s="380"/>
      <c r="AM5" s="109">
        <f t="shared" ref="AM5:AM34" si="6">AL5/1000</f>
        <v>0</v>
      </c>
      <c r="AN5" s="412"/>
      <c r="AO5" s="110">
        <f t="shared" ref="AO5:AO34" si="7">AM5*AN5</f>
        <v>0</v>
      </c>
      <c r="AP5" s="379"/>
      <c r="AQ5" s="380"/>
      <c r="AR5" s="380"/>
      <c r="AS5" s="380"/>
      <c r="AT5" s="412"/>
      <c r="AU5" s="380"/>
      <c r="AV5" s="109">
        <f t="shared" ref="AV5:AV34" si="8">AU5/1000</f>
        <v>0</v>
      </c>
      <c r="AW5" s="412"/>
      <c r="AX5" s="110">
        <f t="shared" ref="AX5:AX34" si="9">AV5*AW5</f>
        <v>0</v>
      </c>
      <c r="AY5" s="379"/>
      <c r="AZ5" s="380"/>
      <c r="BA5" s="380"/>
      <c r="BB5" s="380"/>
      <c r="BC5" s="412"/>
      <c r="BD5" s="380"/>
      <c r="BE5" s="109">
        <f t="shared" ref="BE5:BE34" si="10">BD5/1000</f>
        <v>0</v>
      </c>
      <c r="BF5" s="412"/>
      <c r="BG5" s="110">
        <f t="shared" ref="BG5:BG34" si="11">BE5*BF5</f>
        <v>0</v>
      </c>
      <c r="BH5" s="379"/>
      <c r="BI5" s="380"/>
      <c r="BJ5" s="380"/>
      <c r="BK5" s="380"/>
      <c r="BL5" s="412"/>
      <c r="BM5" s="380"/>
      <c r="BN5" s="109">
        <f t="shared" ref="BN5:BN34" si="12">BM5/1000</f>
        <v>0</v>
      </c>
      <c r="BO5" s="412"/>
      <c r="BP5" s="110">
        <f t="shared" ref="BP5:BP34" si="13">BN5*BO5</f>
        <v>0</v>
      </c>
      <c r="BQ5" s="379"/>
      <c r="BR5" s="380"/>
      <c r="BS5" s="380"/>
      <c r="BT5" s="380"/>
      <c r="BU5" s="412"/>
      <c r="BV5" s="380"/>
      <c r="BW5" s="109">
        <f t="shared" ref="BW5:BW34" si="14">BV5/1000</f>
        <v>0</v>
      </c>
      <c r="BX5" s="412"/>
      <c r="BY5" s="110">
        <f t="shared" ref="BY5:BY34" si="15">BW5*BX5</f>
        <v>0</v>
      </c>
      <c r="BZ5" s="379"/>
      <c r="CA5" s="380"/>
      <c r="CB5" s="380"/>
      <c r="CC5" s="380"/>
      <c r="CD5" s="412"/>
      <c r="CE5" s="380"/>
      <c r="CF5" s="109">
        <f t="shared" ref="CF5:CF34" si="16">CE5/1000</f>
        <v>0</v>
      </c>
      <c r="CG5" s="412"/>
      <c r="CH5" s="110">
        <f t="shared" ref="CH5:CH34" si="17">CF5*CG5</f>
        <v>0</v>
      </c>
      <c r="CI5" s="379"/>
      <c r="CJ5" s="380"/>
      <c r="CK5" s="380"/>
      <c r="CL5" s="380"/>
      <c r="CM5" s="412"/>
      <c r="CN5" s="380"/>
      <c r="CO5" s="109">
        <f t="shared" ref="CO5:CO34" si="18">CN5/1000</f>
        <v>0</v>
      </c>
      <c r="CP5" s="412"/>
      <c r="CQ5" s="110">
        <f t="shared" ref="CQ5:CQ34" si="19">CO5*CP5</f>
        <v>0</v>
      </c>
    </row>
    <row r="6" spans="1:95" ht="41.7" customHeight="1">
      <c r="A6" s="587"/>
      <c r="B6" s="111">
        <v>2</v>
      </c>
      <c r="C6" s="112" t="s">
        <v>48</v>
      </c>
      <c r="D6" s="112" t="s">
        <v>117</v>
      </c>
      <c r="E6" s="113" t="s">
        <v>118</v>
      </c>
      <c r="F6" s="382">
        <v>2.48</v>
      </c>
      <c r="G6" s="383">
        <v>9.3300000000000002E-4</v>
      </c>
      <c r="H6" s="383">
        <v>2.24E-2</v>
      </c>
      <c r="I6" s="383">
        <v>0</v>
      </c>
      <c r="J6" s="384" t="s">
        <v>119</v>
      </c>
      <c r="K6" s="383">
        <v>2.5099999999999998</v>
      </c>
      <c r="L6" s="114">
        <f t="shared" si="0"/>
        <v>2.5099999999999996E-3</v>
      </c>
      <c r="M6" s="403">
        <v>0.1</v>
      </c>
      <c r="N6" s="115">
        <f t="shared" si="1"/>
        <v>2.5099999999999998E-4</v>
      </c>
      <c r="O6" s="382">
        <v>2.48</v>
      </c>
      <c r="P6" s="383">
        <v>9.3300000000000002E-4</v>
      </c>
      <c r="Q6" s="383">
        <v>2.24E-2</v>
      </c>
      <c r="R6" s="383">
        <v>0</v>
      </c>
      <c r="S6" s="384" t="s">
        <v>119</v>
      </c>
      <c r="T6" s="383">
        <v>2.5099999999999998</v>
      </c>
      <c r="U6" s="114">
        <f t="shared" si="2"/>
        <v>2.5099999999999996E-3</v>
      </c>
      <c r="V6" s="403">
        <v>0.1</v>
      </c>
      <c r="W6" s="115">
        <f t="shared" si="3"/>
        <v>2.5099999999999998E-4</v>
      </c>
      <c r="X6" s="382">
        <v>2.48</v>
      </c>
      <c r="Y6" s="383">
        <v>9.3300000000000002E-4</v>
      </c>
      <c r="Z6" s="383">
        <v>2.24E-2</v>
      </c>
      <c r="AA6" s="383">
        <v>0</v>
      </c>
      <c r="AB6" s="384" t="s">
        <v>119</v>
      </c>
      <c r="AC6" s="383">
        <v>2.5099999999999998</v>
      </c>
      <c r="AD6" s="114">
        <f t="shared" si="4"/>
        <v>2.5099999999999996E-3</v>
      </c>
      <c r="AE6" s="403">
        <v>0.1</v>
      </c>
      <c r="AF6" s="115">
        <f t="shared" si="5"/>
        <v>2.5099999999999998E-4</v>
      </c>
      <c r="AG6" s="382"/>
      <c r="AH6" s="383"/>
      <c r="AI6" s="383"/>
      <c r="AJ6" s="383"/>
      <c r="AK6" s="413"/>
      <c r="AL6" s="383"/>
      <c r="AM6" s="114">
        <f t="shared" si="6"/>
        <v>0</v>
      </c>
      <c r="AN6" s="413"/>
      <c r="AO6" s="115">
        <f t="shared" si="7"/>
        <v>0</v>
      </c>
      <c r="AP6" s="382"/>
      <c r="AQ6" s="383"/>
      <c r="AR6" s="383"/>
      <c r="AS6" s="383"/>
      <c r="AT6" s="413"/>
      <c r="AU6" s="383"/>
      <c r="AV6" s="114">
        <f t="shared" si="8"/>
        <v>0</v>
      </c>
      <c r="AW6" s="413"/>
      <c r="AX6" s="115">
        <f t="shared" si="9"/>
        <v>0</v>
      </c>
      <c r="AY6" s="382"/>
      <c r="AZ6" s="383"/>
      <c r="BA6" s="383"/>
      <c r="BB6" s="383"/>
      <c r="BC6" s="413"/>
      <c r="BD6" s="383"/>
      <c r="BE6" s="114">
        <f t="shared" si="10"/>
        <v>0</v>
      </c>
      <c r="BF6" s="413"/>
      <c r="BG6" s="115">
        <f t="shared" si="11"/>
        <v>0</v>
      </c>
      <c r="BH6" s="382"/>
      <c r="BI6" s="383"/>
      <c r="BJ6" s="383"/>
      <c r="BK6" s="383"/>
      <c r="BL6" s="413"/>
      <c r="BM6" s="383"/>
      <c r="BN6" s="114">
        <f t="shared" si="12"/>
        <v>0</v>
      </c>
      <c r="BO6" s="413"/>
      <c r="BP6" s="115">
        <f t="shared" si="13"/>
        <v>0</v>
      </c>
      <c r="BQ6" s="382"/>
      <c r="BR6" s="383"/>
      <c r="BS6" s="383"/>
      <c r="BT6" s="383"/>
      <c r="BU6" s="413"/>
      <c r="BV6" s="383"/>
      <c r="BW6" s="114">
        <f t="shared" si="14"/>
        <v>0</v>
      </c>
      <c r="BX6" s="413"/>
      <c r="BY6" s="115">
        <f t="shared" si="15"/>
        <v>0</v>
      </c>
      <c r="BZ6" s="382"/>
      <c r="CA6" s="383"/>
      <c r="CB6" s="383"/>
      <c r="CC6" s="383"/>
      <c r="CD6" s="413"/>
      <c r="CE6" s="383"/>
      <c r="CF6" s="114">
        <f t="shared" si="16"/>
        <v>0</v>
      </c>
      <c r="CG6" s="413"/>
      <c r="CH6" s="115">
        <f t="shared" si="17"/>
        <v>0</v>
      </c>
      <c r="CI6" s="382"/>
      <c r="CJ6" s="383"/>
      <c r="CK6" s="383"/>
      <c r="CL6" s="383"/>
      <c r="CM6" s="413"/>
      <c r="CN6" s="383"/>
      <c r="CO6" s="114">
        <f t="shared" si="18"/>
        <v>0</v>
      </c>
      <c r="CP6" s="413"/>
      <c r="CQ6" s="115">
        <f t="shared" si="19"/>
        <v>0</v>
      </c>
    </row>
    <row r="7" spans="1:95" ht="64.2" customHeight="1">
      <c r="A7" s="588"/>
      <c r="B7" s="116">
        <v>4</v>
      </c>
      <c r="C7" s="117" t="s">
        <v>50</v>
      </c>
      <c r="D7" s="117" t="s">
        <v>51</v>
      </c>
      <c r="E7" s="118" t="s">
        <v>120</v>
      </c>
      <c r="F7" s="385">
        <v>0</v>
      </c>
      <c r="G7" s="386">
        <v>0</v>
      </c>
      <c r="H7" s="386">
        <v>0</v>
      </c>
      <c r="I7" s="387">
        <f t="shared" ref="I7:AL7" si="20">9*0.09</f>
        <v>0.80999999999999994</v>
      </c>
      <c r="J7" s="388" t="s">
        <v>121</v>
      </c>
      <c r="K7" s="387">
        <f t="shared" si="20"/>
        <v>0.80999999999999994</v>
      </c>
      <c r="L7" s="119">
        <f t="shared" si="0"/>
        <v>8.0999999999999996E-4</v>
      </c>
      <c r="M7" s="404">
        <v>0.5</v>
      </c>
      <c r="N7" s="120">
        <f t="shared" si="1"/>
        <v>4.0499999999999998E-4</v>
      </c>
      <c r="O7" s="385">
        <v>0</v>
      </c>
      <c r="P7" s="386">
        <v>0</v>
      </c>
      <c r="Q7" s="386">
        <v>0</v>
      </c>
      <c r="R7" s="387">
        <f t="shared" si="20"/>
        <v>0.80999999999999994</v>
      </c>
      <c r="S7" s="388" t="s">
        <v>121</v>
      </c>
      <c r="T7" s="387">
        <f t="shared" si="20"/>
        <v>0.80999999999999994</v>
      </c>
      <c r="U7" s="119">
        <f t="shared" si="2"/>
        <v>8.0999999999999996E-4</v>
      </c>
      <c r="V7" s="404">
        <v>0.5</v>
      </c>
      <c r="W7" s="120">
        <f t="shared" si="3"/>
        <v>4.0499999999999998E-4</v>
      </c>
      <c r="X7" s="385">
        <v>0</v>
      </c>
      <c r="Y7" s="386">
        <v>0</v>
      </c>
      <c r="Z7" s="386">
        <v>0</v>
      </c>
      <c r="AA7" s="387">
        <f t="shared" si="20"/>
        <v>0.80999999999999994</v>
      </c>
      <c r="AB7" s="388" t="s">
        <v>121</v>
      </c>
      <c r="AC7" s="387">
        <f t="shared" si="20"/>
        <v>0.80999999999999994</v>
      </c>
      <c r="AD7" s="119">
        <f t="shared" si="4"/>
        <v>8.0999999999999996E-4</v>
      </c>
      <c r="AE7" s="404">
        <v>0.5</v>
      </c>
      <c r="AF7" s="120">
        <f t="shared" si="5"/>
        <v>4.0499999999999998E-4</v>
      </c>
      <c r="AG7" s="385">
        <v>0</v>
      </c>
      <c r="AH7" s="386">
        <v>0</v>
      </c>
      <c r="AI7" s="386">
        <v>0</v>
      </c>
      <c r="AJ7" s="387">
        <f t="shared" si="20"/>
        <v>0.80999999999999994</v>
      </c>
      <c r="AK7" s="388" t="s">
        <v>121</v>
      </c>
      <c r="AL7" s="387">
        <f t="shared" si="20"/>
        <v>0.80999999999999994</v>
      </c>
      <c r="AM7" s="119">
        <f t="shared" si="6"/>
        <v>8.0999999999999996E-4</v>
      </c>
      <c r="AN7" s="404">
        <v>0.5</v>
      </c>
      <c r="AO7" s="120">
        <f t="shared" si="7"/>
        <v>4.0499999999999998E-4</v>
      </c>
      <c r="AP7" s="385"/>
      <c r="AQ7" s="387"/>
      <c r="AR7" s="387"/>
      <c r="AS7" s="387"/>
      <c r="AT7" s="426"/>
      <c r="AU7" s="387"/>
      <c r="AV7" s="119">
        <f t="shared" si="8"/>
        <v>0</v>
      </c>
      <c r="AW7" s="404"/>
      <c r="AX7" s="120">
        <f t="shared" si="9"/>
        <v>0</v>
      </c>
      <c r="AY7" s="385"/>
      <c r="AZ7" s="387"/>
      <c r="BA7" s="387"/>
      <c r="BB7" s="387"/>
      <c r="BC7" s="426"/>
      <c r="BD7" s="387"/>
      <c r="BE7" s="119">
        <f t="shared" si="10"/>
        <v>0</v>
      </c>
      <c r="BF7" s="404"/>
      <c r="BG7" s="120">
        <f t="shared" si="11"/>
        <v>0</v>
      </c>
      <c r="BH7" s="385"/>
      <c r="BI7" s="387"/>
      <c r="BJ7" s="387"/>
      <c r="BK7" s="387"/>
      <c r="BL7" s="426"/>
      <c r="BM7" s="387"/>
      <c r="BN7" s="119">
        <f t="shared" si="12"/>
        <v>0</v>
      </c>
      <c r="BO7" s="404"/>
      <c r="BP7" s="120">
        <f t="shared" si="13"/>
        <v>0</v>
      </c>
      <c r="BQ7" s="385"/>
      <c r="BR7" s="387"/>
      <c r="BS7" s="387"/>
      <c r="BT7" s="387"/>
      <c r="BU7" s="426"/>
      <c r="BV7" s="387"/>
      <c r="BW7" s="119">
        <f t="shared" si="14"/>
        <v>0</v>
      </c>
      <c r="BX7" s="404"/>
      <c r="BY7" s="120">
        <f t="shared" si="15"/>
        <v>0</v>
      </c>
      <c r="BZ7" s="385"/>
      <c r="CA7" s="387"/>
      <c r="CB7" s="387"/>
      <c r="CC7" s="387"/>
      <c r="CD7" s="426"/>
      <c r="CE7" s="387"/>
      <c r="CF7" s="119">
        <f t="shared" si="16"/>
        <v>0</v>
      </c>
      <c r="CG7" s="404"/>
      <c r="CH7" s="120">
        <f t="shared" si="17"/>
        <v>0</v>
      </c>
      <c r="CI7" s="385"/>
      <c r="CJ7" s="387"/>
      <c r="CK7" s="387"/>
      <c r="CL7" s="387"/>
      <c r="CM7" s="426"/>
      <c r="CN7" s="387"/>
      <c r="CO7" s="119">
        <f t="shared" si="18"/>
        <v>0</v>
      </c>
      <c r="CP7" s="404"/>
      <c r="CQ7" s="120">
        <f t="shared" si="19"/>
        <v>0</v>
      </c>
    </row>
    <row r="8" spans="1:95" ht="52.95" customHeight="1">
      <c r="A8" s="591" t="s">
        <v>53</v>
      </c>
      <c r="B8" s="121">
        <v>6</v>
      </c>
      <c r="C8" s="122" t="s">
        <v>54</v>
      </c>
      <c r="D8" s="122" t="s">
        <v>122</v>
      </c>
      <c r="E8" s="123" t="s">
        <v>123</v>
      </c>
      <c r="F8" s="594"/>
      <c r="G8" s="595"/>
      <c r="H8" s="595"/>
      <c r="I8" s="596"/>
      <c r="J8" s="389" t="s">
        <v>124</v>
      </c>
      <c r="K8" s="380">
        <v>2.5899999999999999E-2</v>
      </c>
      <c r="L8" s="109">
        <f t="shared" si="0"/>
        <v>2.5899999999999999E-5</v>
      </c>
      <c r="M8" s="405">
        <v>0.3</v>
      </c>
      <c r="N8" s="110">
        <f t="shared" si="1"/>
        <v>7.7700000000000001E-6</v>
      </c>
      <c r="O8" s="594"/>
      <c r="P8" s="595"/>
      <c r="Q8" s="595"/>
      <c r="R8" s="596"/>
      <c r="S8" s="389" t="s">
        <v>124</v>
      </c>
      <c r="T8" s="380">
        <v>2.5399999999999999E-2</v>
      </c>
      <c r="U8" s="109">
        <f t="shared" si="2"/>
        <v>2.5399999999999997E-5</v>
      </c>
      <c r="V8" s="405">
        <v>0.3</v>
      </c>
      <c r="W8" s="110">
        <f t="shared" si="3"/>
        <v>7.619999999999999E-6</v>
      </c>
      <c r="X8" s="594"/>
      <c r="Y8" s="595"/>
      <c r="Z8" s="595"/>
      <c r="AA8" s="596"/>
      <c r="AB8" s="389" t="s">
        <v>124</v>
      </c>
      <c r="AC8" s="380">
        <v>2.9899999999999999E-2</v>
      </c>
      <c r="AD8" s="109">
        <f t="shared" si="4"/>
        <v>2.9899999999999998E-5</v>
      </c>
      <c r="AE8" s="405">
        <v>0.3</v>
      </c>
      <c r="AF8" s="110">
        <f t="shared" si="5"/>
        <v>8.9699999999999988E-6</v>
      </c>
      <c r="AG8" s="594"/>
      <c r="AH8" s="595"/>
      <c r="AI8" s="595"/>
      <c r="AJ8" s="596"/>
      <c r="AK8" s="414"/>
      <c r="AL8" s="380"/>
      <c r="AM8" s="109">
        <f t="shared" si="6"/>
        <v>0</v>
      </c>
      <c r="AN8" s="412"/>
      <c r="AO8" s="110">
        <f t="shared" si="7"/>
        <v>0</v>
      </c>
      <c r="AP8" s="594"/>
      <c r="AQ8" s="595"/>
      <c r="AR8" s="595"/>
      <c r="AS8" s="596"/>
      <c r="AT8" s="414"/>
      <c r="AU8" s="380"/>
      <c r="AV8" s="109">
        <f t="shared" si="8"/>
        <v>0</v>
      </c>
      <c r="AW8" s="412"/>
      <c r="AX8" s="110">
        <f t="shared" si="9"/>
        <v>0</v>
      </c>
      <c r="AY8" s="594"/>
      <c r="AZ8" s="595"/>
      <c r="BA8" s="595"/>
      <c r="BB8" s="596"/>
      <c r="BC8" s="414"/>
      <c r="BD8" s="380"/>
      <c r="BE8" s="109">
        <f t="shared" si="10"/>
        <v>0</v>
      </c>
      <c r="BF8" s="412"/>
      <c r="BG8" s="110">
        <f t="shared" si="11"/>
        <v>0</v>
      </c>
      <c r="BH8" s="594"/>
      <c r="BI8" s="595"/>
      <c r="BJ8" s="595"/>
      <c r="BK8" s="596"/>
      <c r="BL8" s="414"/>
      <c r="BM8" s="380"/>
      <c r="BN8" s="109">
        <f t="shared" si="12"/>
        <v>0</v>
      </c>
      <c r="BO8" s="412"/>
      <c r="BP8" s="110">
        <f t="shared" si="13"/>
        <v>0</v>
      </c>
      <c r="BQ8" s="594"/>
      <c r="BR8" s="595"/>
      <c r="BS8" s="595"/>
      <c r="BT8" s="596"/>
      <c r="BU8" s="414"/>
      <c r="BV8" s="380"/>
      <c r="BW8" s="109">
        <f t="shared" si="14"/>
        <v>0</v>
      </c>
      <c r="BX8" s="412"/>
      <c r="BY8" s="110">
        <f t="shared" si="15"/>
        <v>0</v>
      </c>
      <c r="BZ8" s="594"/>
      <c r="CA8" s="595"/>
      <c r="CB8" s="595"/>
      <c r="CC8" s="596"/>
      <c r="CD8" s="414"/>
      <c r="CE8" s="380"/>
      <c r="CF8" s="109">
        <f t="shared" si="16"/>
        <v>0</v>
      </c>
      <c r="CG8" s="412"/>
      <c r="CH8" s="110">
        <f t="shared" si="17"/>
        <v>0</v>
      </c>
      <c r="CI8" s="594"/>
      <c r="CJ8" s="595"/>
      <c r="CK8" s="595"/>
      <c r="CL8" s="596"/>
      <c r="CM8" s="414"/>
      <c r="CN8" s="380"/>
      <c r="CO8" s="109">
        <f t="shared" si="18"/>
        <v>0</v>
      </c>
      <c r="CP8" s="412"/>
      <c r="CQ8" s="110">
        <f t="shared" si="19"/>
        <v>0</v>
      </c>
    </row>
    <row r="9" spans="1:95" ht="41.85" customHeight="1">
      <c r="A9" s="592"/>
      <c r="B9" s="125">
        <v>7</v>
      </c>
      <c r="C9" s="126" t="s">
        <v>56</v>
      </c>
      <c r="D9" s="126" t="s">
        <v>57</v>
      </c>
      <c r="E9" s="127" t="s">
        <v>118</v>
      </c>
      <c r="F9" s="597"/>
      <c r="G9" s="598"/>
      <c r="H9" s="598"/>
      <c r="I9" s="599"/>
      <c r="J9" s="390" t="s">
        <v>125</v>
      </c>
      <c r="K9" s="391">
        <v>0.16900000000000001</v>
      </c>
      <c r="L9" s="119">
        <f t="shared" si="0"/>
        <v>1.6900000000000002E-4</v>
      </c>
      <c r="M9" s="406">
        <v>0.05</v>
      </c>
      <c r="N9" s="120">
        <f t="shared" si="1"/>
        <v>8.4500000000000004E-6</v>
      </c>
      <c r="O9" s="597"/>
      <c r="P9" s="598"/>
      <c r="Q9" s="598"/>
      <c r="R9" s="599"/>
      <c r="S9" s="390" t="s">
        <v>125</v>
      </c>
      <c r="T9" s="391">
        <v>0.16900000000000001</v>
      </c>
      <c r="U9" s="119">
        <f t="shared" si="2"/>
        <v>1.6900000000000002E-4</v>
      </c>
      <c r="V9" s="406">
        <v>0.05</v>
      </c>
      <c r="W9" s="120">
        <f t="shared" si="3"/>
        <v>8.4500000000000004E-6</v>
      </c>
      <c r="X9" s="597"/>
      <c r="Y9" s="598"/>
      <c r="Z9" s="598"/>
      <c r="AA9" s="599"/>
      <c r="AB9" s="390" t="s">
        <v>125</v>
      </c>
      <c r="AC9" s="391">
        <v>0.16900000000000001</v>
      </c>
      <c r="AD9" s="119">
        <f t="shared" si="4"/>
        <v>1.6900000000000002E-4</v>
      </c>
      <c r="AE9" s="406">
        <v>0.05</v>
      </c>
      <c r="AF9" s="120">
        <f t="shared" si="5"/>
        <v>8.4500000000000004E-6</v>
      </c>
      <c r="AG9" s="597"/>
      <c r="AH9" s="598"/>
      <c r="AI9" s="598"/>
      <c r="AJ9" s="599"/>
      <c r="AK9" s="415"/>
      <c r="AL9" s="391"/>
      <c r="AM9" s="119">
        <f t="shared" si="6"/>
        <v>0</v>
      </c>
      <c r="AN9" s="422"/>
      <c r="AO9" s="120">
        <f t="shared" si="7"/>
        <v>0</v>
      </c>
      <c r="AP9" s="597"/>
      <c r="AQ9" s="598"/>
      <c r="AR9" s="598"/>
      <c r="AS9" s="599"/>
      <c r="AT9" s="415"/>
      <c r="AU9" s="391"/>
      <c r="AV9" s="119">
        <f t="shared" si="8"/>
        <v>0</v>
      </c>
      <c r="AW9" s="422"/>
      <c r="AX9" s="120">
        <f t="shared" si="9"/>
        <v>0</v>
      </c>
      <c r="AY9" s="597"/>
      <c r="AZ9" s="598"/>
      <c r="BA9" s="598"/>
      <c r="BB9" s="599"/>
      <c r="BC9" s="415"/>
      <c r="BD9" s="391"/>
      <c r="BE9" s="119">
        <f t="shared" si="10"/>
        <v>0</v>
      </c>
      <c r="BF9" s="422"/>
      <c r="BG9" s="120">
        <f t="shared" si="11"/>
        <v>0</v>
      </c>
      <c r="BH9" s="597"/>
      <c r="BI9" s="598"/>
      <c r="BJ9" s="598"/>
      <c r="BK9" s="599"/>
      <c r="BL9" s="415"/>
      <c r="BM9" s="391"/>
      <c r="BN9" s="119">
        <f t="shared" si="12"/>
        <v>0</v>
      </c>
      <c r="BO9" s="422"/>
      <c r="BP9" s="120">
        <f t="shared" si="13"/>
        <v>0</v>
      </c>
      <c r="BQ9" s="597"/>
      <c r="BR9" s="598"/>
      <c r="BS9" s="598"/>
      <c r="BT9" s="599"/>
      <c r="BU9" s="415"/>
      <c r="BV9" s="391"/>
      <c r="BW9" s="119">
        <f t="shared" si="14"/>
        <v>0</v>
      </c>
      <c r="BX9" s="422"/>
      <c r="BY9" s="120">
        <f t="shared" si="15"/>
        <v>0</v>
      </c>
      <c r="BZ9" s="597"/>
      <c r="CA9" s="598"/>
      <c r="CB9" s="598"/>
      <c r="CC9" s="599"/>
      <c r="CD9" s="415"/>
      <c r="CE9" s="391"/>
      <c r="CF9" s="119">
        <f t="shared" si="16"/>
        <v>0</v>
      </c>
      <c r="CG9" s="422"/>
      <c r="CH9" s="120">
        <f t="shared" si="17"/>
        <v>0</v>
      </c>
      <c r="CI9" s="597"/>
      <c r="CJ9" s="598"/>
      <c r="CK9" s="598"/>
      <c r="CL9" s="599"/>
      <c r="CM9" s="415"/>
      <c r="CN9" s="391"/>
      <c r="CO9" s="119">
        <f t="shared" si="18"/>
        <v>0</v>
      </c>
      <c r="CP9" s="422"/>
      <c r="CQ9" s="120">
        <f t="shared" si="19"/>
        <v>0</v>
      </c>
    </row>
    <row r="10" spans="1:95" ht="30.75" customHeight="1">
      <c r="A10" s="640" t="s">
        <v>59</v>
      </c>
      <c r="B10" s="630">
        <v>8</v>
      </c>
      <c r="C10" s="632" t="s">
        <v>60</v>
      </c>
      <c r="D10" s="128" t="s">
        <v>57</v>
      </c>
      <c r="E10" s="129" t="s">
        <v>126</v>
      </c>
      <c r="F10" s="600"/>
      <c r="G10" s="601"/>
      <c r="H10" s="601"/>
      <c r="I10" s="602"/>
      <c r="J10" s="389" t="s">
        <v>125</v>
      </c>
      <c r="K10" s="380">
        <v>3.5700000000000003E-2</v>
      </c>
      <c r="L10" s="109">
        <f t="shared" si="0"/>
        <v>3.57E-5</v>
      </c>
      <c r="M10" s="402">
        <v>0.05</v>
      </c>
      <c r="N10" s="110">
        <f t="shared" si="1"/>
        <v>1.7850000000000001E-6</v>
      </c>
      <c r="O10" s="600"/>
      <c r="P10" s="601"/>
      <c r="Q10" s="601"/>
      <c r="R10" s="602"/>
      <c r="S10" s="389" t="s">
        <v>125</v>
      </c>
      <c r="T10" s="380">
        <v>3.5700000000000003E-2</v>
      </c>
      <c r="U10" s="109">
        <f t="shared" si="2"/>
        <v>3.57E-5</v>
      </c>
      <c r="V10" s="402">
        <v>0.05</v>
      </c>
      <c r="W10" s="110">
        <f t="shared" si="3"/>
        <v>1.7850000000000001E-6</v>
      </c>
      <c r="X10" s="600"/>
      <c r="Y10" s="601"/>
      <c r="Z10" s="601"/>
      <c r="AA10" s="602"/>
      <c r="AB10" s="389" t="s">
        <v>125</v>
      </c>
      <c r="AC10" s="380">
        <v>3.5700000000000003E-2</v>
      </c>
      <c r="AD10" s="109">
        <f t="shared" si="4"/>
        <v>3.57E-5</v>
      </c>
      <c r="AE10" s="402">
        <v>0.05</v>
      </c>
      <c r="AF10" s="110">
        <f t="shared" si="5"/>
        <v>1.7850000000000001E-6</v>
      </c>
      <c r="AG10" s="600"/>
      <c r="AH10" s="601"/>
      <c r="AI10" s="601"/>
      <c r="AJ10" s="602"/>
      <c r="AK10" s="416"/>
      <c r="AL10" s="380"/>
      <c r="AM10" s="109">
        <f t="shared" si="6"/>
        <v>0</v>
      </c>
      <c r="AN10" s="402"/>
      <c r="AO10" s="110">
        <f t="shared" si="7"/>
        <v>0</v>
      </c>
      <c r="AP10" s="600"/>
      <c r="AQ10" s="601"/>
      <c r="AR10" s="601"/>
      <c r="AS10" s="602"/>
      <c r="AT10" s="416"/>
      <c r="AU10" s="380"/>
      <c r="AV10" s="109">
        <f t="shared" si="8"/>
        <v>0</v>
      </c>
      <c r="AW10" s="402"/>
      <c r="AX10" s="110">
        <f t="shared" si="9"/>
        <v>0</v>
      </c>
      <c r="AY10" s="600"/>
      <c r="AZ10" s="601"/>
      <c r="BA10" s="601"/>
      <c r="BB10" s="602"/>
      <c r="BC10" s="416"/>
      <c r="BD10" s="380"/>
      <c r="BE10" s="109">
        <f t="shared" si="10"/>
        <v>0</v>
      </c>
      <c r="BF10" s="402"/>
      <c r="BG10" s="110">
        <f t="shared" si="11"/>
        <v>0</v>
      </c>
      <c r="BH10" s="600"/>
      <c r="BI10" s="601"/>
      <c r="BJ10" s="601"/>
      <c r="BK10" s="602"/>
      <c r="BL10" s="416"/>
      <c r="BM10" s="380"/>
      <c r="BN10" s="109">
        <f t="shared" si="12"/>
        <v>0</v>
      </c>
      <c r="BO10" s="402"/>
      <c r="BP10" s="110">
        <f t="shared" si="13"/>
        <v>0</v>
      </c>
      <c r="BQ10" s="600"/>
      <c r="BR10" s="601"/>
      <c r="BS10" s="601"/>
      <c r="BT10" s="602"/>
      <c r="BU10" s="416"/>
      <c r="BV10" s="380"/>
      <c r="BW10" s="109">
        <f t="shared" si="14"/>
        <v>0</v>
      </c>
      <c r="BX10" s="402"/>
      <c r="BY10" s="110">
        <f t="shared" si="15"/>
        <v>0</v>
      </c>
      <c r="BZ10" s="600"/>
      <c r="CA10" s="601"/>
      <c r="CB10" s="601"/>
      <c r="CC10" s="602"/>
      <c r="CD10" s="416"/>
      <c r="CE10" s="380"/>
      <c r="CF10" s="109">
        <f t="shared" si="16"/>
        <v>0</v>
      </c>
      <c r="CG10" s="402"/>
      <c r="CH10" s="110">
        <f t="shared" si="17"/>
        <v>0</v>
      </c>
      <c r="CI10" s="600"/>
      <c r="CJ10" s="601"/>
      <c r="CK10" s="601"/>
      <c r="CL10" s="602"/>
      <c r="CM10" s="416"/>
      <c r="CN10" s="380"/>
      <c r="CO10" s="109">
        <f t="shared" si="18"/>
        <v>0</v>
      </c>
      <c r="CP10" s="402"/>
      <c r="CQ10" s="110">
        <f t="shared" si="19"/>
        <v>0</v>
      </c>
    </row>
    <row r="11" spans="1:95" ht="18.899999999999999" customHeight="1">
      <c r="A11" s="641"/>
      <c r="B11" s="631"/>
      <c r="C11" s="633"/>
      <c r="D11" s="130" t="s">
        <v>117</v>
      </c>
      <c r="E11" s="131" t="s">
        <v>126</v>
      </c>
      <c r="F11" s="600"/>
      <c r="G11" s="601"/>
      <c r="H11" s="601"/>
      <c r="I11" s="602"/>
      <c r="J11" s="392" t="s">
        <v>119</v>
      </c>
      <c r="K11" s="383">
        <v>0.65700000000000003</v>
      </c>
      <c r="L11" s="114">
        <f t="shared" si="0"/>
        <v>6.5700000000000003E-4</v>
      </c>
      <c r="M11" s="403">
        <v>0.1</v>
      </c>
      <c r="N11" s="115">
        <f t="shared" si="1"/>
        <v>6.5700000000000011E-5</v>
      </c>
      <c r="O11" s="600"/>
      <c r="P11" s="601"/>
      <c r="Q11" s="601"/>
      <c r="R11" s="602"/>
      <c r="S11" s="392" t="s">
        <v>119</v>
      </c>
      <c r="T11" s="383">
        <v>0.65700000000000003</v>
      </c>
      <c r="U11" s="114">
        <f t="shared" si="2"/>
        <v>6.5700000000000003E-4</v>
      </c>
      <c r="V11" s="403">
        <v>0.1</v>
      </c>
      <c r="W11" s="115">
        <f t="shared" si="3"/>
        <v>6.5700000000000011E-5</v>
      </c>
      <c r="X11" s="600"/>
      <c r="Y11" s="601"/>
      <c r="Z11" s="601"/>
      <c r="AA11" s="602"/>
      <c r="AB11" s="392" t="s">
        <v>119</v>
      </c>
      <c r="AC11" s="383">
        <v>0.65700000000000003</v>
      </c>
      <c r="AD11" s="114">
        <f t="shared" si="4"/>
        <v>6.5700000000000003E-4</v>
      </c>
      <c r="AE11" s="403">
        <v>0.1</v>
      </c>
      <c r="AF11" s="115">
        <f t="shared" si="5"/>
        <v>6.5700000000000011E-5</v>
      </c>
      <c r="AG11" s="600"/>
      <c r="AH11" s="601"/>
      <c r="AI11" s="601"/>
      <c r="AJ11" s="602"/>
      <c r="AK11" s="417"/>
      <c r="AL11" s="383"/>
      <c r="AM11" s="114">
        <f t="shared" si="6"/>
        <v>0</v>
      </c>
      <c r="AN11" s="410"/>
      <c r="AO11" s="115">
        <f t="shared" si="7"/>
        <v>0</v>
      </c>
      <c r="AP11" s="600"/>
      <c r="AQ11" s="601"/>
      <c r="AR11" s="601"/>
      <c r="AS11" s="602"/>
      <c r="AT11" s="417"/>
      <c r="AU11" s="383"/>
      <c r="AV11" s="114">
        <f t="shared" si="8"/>
        <v>0</v>
      </c>
      <c r="AW11" s="410"/>
      <c r="AX11" s="115">
        <f t="shared" si="9"/>
        <v>0</v>
      </c>
      <c r="AY11" s="600"/>
      <c r="AZ11" s="601"/>
      <c r="BA11" s="601"/>
      <c r="BB11" s="602"/>
      <c r="BC11" s="417"/>
      <c r="BD11" s="383"/>
      <c r="BE11" s="114">
        <f t="shared" si="10"/>
        <v>0</v>
      </c>
      <c r="BF11" s="410"/>
      <c r="BG11" s="115">
        <f t="shared" si="11"/>
        <v>0</v>
      </c>
      <c r="BH11" s="600"/>
      <c r="BI11" s="601"/>
      <c r="BJ11" s="601"/>
      <c r="BK11" s="602"/>
      <c r="BL11" s="417"/>
      <c r="BM11" s="383"/>
      <c r="BN11" s="114">
        <f t="shared" si="12"/>
        <v>0</v>
      </c>
      <c r="BO11" s="410"/>
      <c r="BP11" s="115">
        <f t="shared" si="13"/>
        <v>0</v>
      </c>
      <c r="BQ11" s="600"/>
      <c r="BR11" s="601"/>
      <c r="BS11" s="601"/>
      <c r="BT11" s="602"/>
      <c r="BU11" s="417"/>
      <c r="BV11" s="383"/>
      <c r="BW11" s="114">
        <f t="shared" si="14"/>
        <v>0</v>
      </c>
      <c r="BX11" s="410"/>
      <c r="BY11" s="115">
        <f t="shared" si="15"/>
        <v>0</v>
      </c>
      <c r="BZ11" s="600"/>
      <c r="CA11" s="601"/>
      <c r="CB11" s="601"/>
      <c r="CC11" s="602"/>
      <c r="CD11" s="417"/>
      <c r="CE11" s="383"/>
      <c r="CF11" s="114">
        <f t="shared" si="16"/>
        <v>0</v>
      </c>
      <c r="CG11" s="410"/>
      <c r="CH11" s="115">
        <f t="shared" si="17"/>
        <v>0</v>
      </c>
      <c r="CI11" s="600"/>
      <c r="CJ11" s="601"/>
      <c r="CK11" s="601"/>
      <c r="CL11" s="602"/>
      <c r="CM11" s="417"/>
      <c r="CN11" s="383"/>
      <c r="CO11" s="114">
        <f t="shared" si="18"/>
        <v>0</v>
      </c>
      <c r="CP11" s="410"/>
      <c r="CQ11" s="115">
        <f t="shared" si="19"/>
        <v>0</v>
      </c>
    </row>
    <row r="12" spans="1:95" ht="52.35" customHeight="1">
      <c r="A12" s="587"/>
      <c r="B12" s="626"/>
      <c r="C12" s="627"/>
      <c r="D12" s="132" t="s">
        <v>122</v>
      </c>
      <c r="E12" s="133" t="s">
        <v>127</v>
      </c>
      <c r="F12" s="600"/>
      <c r="G12" s="601"/>
      <c r="H12" s="601"/>
      <c r="I12" s="602"/>
      <c r="J12" s="393" t="s">
        <v>124</v>
      </c>
      <c r="K12" s="394">
        <f>0.0097+0.0049</f>
        <v>1.46E-2</v>
      </c>
      <c r="L12" s="134">
        <f t="shared" si="0"/>
        <v>1.4600000000000001E-5</v>
      </c>
      <c r="M12" s="407">
        <v>0.3</v>
      </c>
      <c r="N12" s="135">
        <f t="shared" si="1"/>
        <v>4.3800000000000004E-6</v>
      </c>
      <c r="O12" s="600"/>
      <c r="P12" s="601"/>
      <c r="Q12" s="601"/>
      <c r="R12" s="602"/>
      <c r="S12" s="393" t="s">
        <v>124</v>
      </c>
      <c r="T12" s="394">
        <f>0.0102+0.0044</f>
        <v>1.4600000000000002E-2</v>
      </c>
      <c r="U12" s="134">
        <f t="shared" si="2"/>
        <v>1.4600000000000003E-5</v>
      </c>
      <c r="V12" s="407">
        <v>0.3</v>
      </c>
      <c r="W12" s="135">
        <f t="shared" si="3"/>
        <v>4.3800000000000004E-6</v>
      </c>
      <c r="X12" s="600"/>
      <c r="Y12" s="601"/>
      <c r="Z12" s="601"/>
      <c r="AA12" s="602"/>
      <c r="AB12" s="393" t="s">
        <v>124</v>
      </c>
      <c r="AC12" s="394">
        <f>0.0113+0.0044</f>
        <v>1.5699999999999999E-2</v>
      </c>
      <c r="AD12" s="134">
        <f t="shared" si="4"/>
        <v>1.5699999999999999E-5</v>
      </c>
      <c r="AE12" s="407">
        <v>0.3</v>
      </c>
      <c r="AF12" s="135">
        <f t="shared" si="5"/>
        <v>4.7099999999999998E-6</v>
      </c>
      <c r="AG12" s="600"/>
      <c r="AH12" s="601"/>
      <c r="AI12" s="601"/>
      <c r="AJ12" s="602"/>
      <c r="AK12" s="418"/>
      <c r="AL12" s="394"/>
      <c r="AM12" s="134">
        <f t="shared" si="6"/>
        <v>0</v>
      </c>
      <c r="AN12" s="423"/>
      <c r="AO12" s="135">
        <f t="shared" si="7"/>
        <v>0</v>
      </c>
      <c r="AP12" s="600"/>
      <c r="AQ12" s="601"/>
      <c r="AR12" s="601"/>
      <c r="AS12" s="602"/>
      <c r="AT12" s="418"/>
      <c r="AU12" s="394"/>
      <c r="AV12" s="134">
        <f t="shared" si="8"/>
        <v>0</v>
      </c>
      <c r="AW12" s="423"/>
      <c r="AX12" s="135">
        <f t="shared" si="9"/>
        <v>0</v>
      </c>
      <c r="AY12" s="600"/>
      <c r="AZ12" s="601"/>
      <c r="BA12" s="601"/>
      <c r="BB12" s="602"/>
      <c r="BC12" s="418"/>
      <c r="BD12" s="394"/>
      <c r="BE12" s="134">
        <f t="shared" si="10"/>
        <v>0</v>
      </c>
      <c r="BF12" s="423"/>
      <c r="BG12" s="135">
        <f t="shared" si="11"/>
        <v>0</v>
      </c>
      <c r="BH12" s="600"/>
      <c r="BI12" s="601"/>
      <c r="BJ12" s="601"/>
      <c r="BK12" s="602"/>
      <c r="BL12" s="418"/>
      <c r="BM12" s="394"/>
      <c r="BN12" s="134">
        <f t="shared" si="12"/>
        <v>0</v>
      </c>
      <c r="BO12" s="423"/>
      <c r="BP12" s="135">
        <f t="shared" si="13"/>
        <v>0</v>
      </c>
      <c r="BQ12" s="600"/>
      <c r="BR12" s="601"/>
      <c r="BS12" s="601"/>
      <c r="BT12" s="602"/>
      <c r="BU12" s="418"/>
      <c r="BV12" s="394"/>
      <c r="BW12" s="134">
        <f t="shared" si="14"/>
        <v>0</v>
      </c>
      <c r="BX12" s="423"/>
      <c r="BY12" s="135">
        <f t="shared" si="15"/>
        <v>0</v>
      </c>
      <c r="BZ12" s="600"/>
      <c r="CA12" s="601"/>
      <c r="CB12" s="601"/>
      <c r="CC12" s="602"/>
      <c r="CD12" s="418"/>
      <c r="CE12" s="394"/>
      <c r="CF12" s="134">
        <f t="shared" si="16"/>
        <v>0</v>
      </c>
      <c r="CG12" s="423"/>
      <c r="CH12" s="135">
        <f t="shared" si="17"/>
        <v>0</v>
      </c>
      <c r="CI12" s="600"/>
      <c r="CJ12" s="601"/>
      <c r="CK12" s="601"/>
      <c r="CL12" s="602"/>
      <c r="CM12" s="418"/>
      <c r="CN12" s="394"/>
      <c r="CO12" s="134">
        <f t="shared" si="18"/>
        <v>0</v>
      </c>
      <c r="CP12" s="423"/>
      <c r="CQ12" s="135">
        <f t="shared" si="19"/>
        <v>0</v>
      </c>
    </row>
    <row r="13" spans="1:95" ht="41.7" customHeight="1">
      <c r="A13" s="587"/>
      <c r="B13" s="365">
        <v>9</v>
      </c>
      <c r="C13" s="364" t="s">
        <v>62</v>
      </c>
      <c r="D13" s="364" t="s">
        <v>128</v>
      </c>
      <c r="E13" s="136" t="s">
        <v>129</v>
      </c>
      <c r="F13" s="600"/>
      <c r="G13" s="601"/>
      <c r="H13" s="601"/>
      <c r="I13" s="602"/>
      <c r="J13" s="395" t="s">
        <v>124</v>
      </c>
      <c r="K13" s="396">
        <v>5.7299999999999997E-2</v>
      </c>
      <c r="L13" s="137">
        <f t="shared" si="0"/>
        <v>5.7299999999999997E-5</v>
      </c>
      <c r="M13" s="408">
        <v>0.1</v>
      </c>
      <c r="N13" s="138">
        <f t="shared" si="1"/>
        <v>5.7300000000000002E-6</v>
      </c>
      <c r="O13" s="600"/>
      <c r="P13" s="601"/>
      <c r="Q13" s="601"/>
      <c r="R13" s="602"/>
      <c r="S13" s="395" t="s">
        <v>124</v>
      </c>
      <c r="T13" s="396">
        <v>5.7299999999999997E-2</v>
      </c>
      <c r="U13" s="137">
        <f t="shared" si="2"/>
        <v>5.7299999999999997E-5</v>
      </c>
      <c r="V13" s="408">
        <v>0.1</v>
      </c>
      <c r="W13" s="138">
        <f t="shared" si="3"/>
        <v>5.7300000000000002E-6</v>
      </c>
      <c r="X13" s="600"/>
      <c r="Y13" s="601"/>
      <c r="Z13" s="601"/>
      <c r="AA13" s="602"/>
      <c r="AB13" s="395" t="s">
        <v>124</v>
      </c>
      <c r="AC13" s="396">
        <v>5.7299999999999997E-2</v>
      </c>
      <c r="AD13" s="137">
        <f t="shared" si="4"/>
        <v>5.7299999999999997E-5</v>
      </c>
      <c r="AE13" s="408">
        <v>0.1</v>
      </c>
      <c r="AF13" s="138">
        <f t="shared" si="5"/>
        <v>5.7300000000000002E-6</v>
      </c>
      <c r="AG13" s="600"/>
      <c r="AH13" s="601"/>
      <c r="AI13" s="601"/>
      <c r="AJ13" s="602"/>
      <c r="AK13" s="419"/>
      <c r="AL13" s="396"/>
      <c r="AM13" s="137">
        <f t="shared" si="6"/>
        <v>0</v>
      </c>
      <c r="AN13" s="424"/>
      <c r="AO13" s="138">
        <f t="shared" si="7"/>
        <v>0</v>
      </c>
      <c r="AP13" s="600"/>
      <c r="AQ13" s="601"/>
      <c r="AR13" s="601"/>
      <c r="AS13" s="602"/>
      <c r="AT13" s="419"/>
      <c r="AU13" s="396"/>
      <c r="AV13" s="137">
        <f t="shared" si="8"/>
        <v>0</v>
      </c>
      <c r="AW13" s="424"/>
      <c r="AX13" s="138">
        <f t="shared" si="9"/>
        <v>0</v>
      </c>
      <c r="AY13" s="600"/>
      <c r="AZ13" s="601"/>
      <c r="BA13" s="601"/>
      <c r="BB13" s="602"/>
      <c r="BC13" s="419"/>
      <c r="BD13" s="396"/>
      <c r="BE13" s="137">
        <f t="shared" si="10"/>
        <v>0</v>
      </c>
      <c r="BF13" s="424"/>
      <c r="BG13" s="138">
        <f t="shared" si="11"/>
        <v>0</v>
      </c>
      <c r="BH13" s="600"/>
      <c r="BI13" s="601"/>
      <c r="BJ13" s="601"/>
      <c r="BK13" s="602"/>
      <c r="BL13" s="419"/>
      <c r="BM13" s="396"/>
      <c r="BN13" s="137">
        <f t="shared" si="12"/>
        <v>0</v>
      </c>
      <c r="BO13" s="424"/>
      <c r="BP13" s="138">
        <f t="shared" si="13"/>
        <v>0</v>
      </c>
      <c r="BQ13" s="600"/>
      <c r="BR13" s="601"/>
      <c r="BS13" s="601"/>
      <c r="BT13" s="602"/>
      <c r="BU13" s="419"/>
      <c r="BV13" s="396"/>
      <c r="BW13" s="137">
        <f t="shared" si="14"/>
        <v>0</v>
      </c>
      <c r="BX13" s="424"/>
      <c r="BY13" s="138">
        <f t="shared" si="15"/>
        <v>0</v>
      </c>
      <c r="BZ13" s="600"/>
      <c r="CA13" s="601"/>
      <c r="CB13" s="601"/>
      <c r="CC13" s="602"/>
      <c r="CD13" s="419"/>
      <c r="CE13" s="396"/>
      <c r="CF13" s="137">
        <f t="shared" si="16"/>
        <v>0</v>
      </c>
      <c r="CG13" s="424"/>
      <c r="CH13" s="138">
        <f t="shared" si="17"/>
        <v>0</v>
      </c>
      <c r="CI13" s="600"/>
      <c r="CJ13" s="601"/>
      <c r="CK13" s="601"/>
      <c r="CL13" s="602"/>
      <c r="CM13" s="419"/>
      <c r="CN13" s="396"/>
      <c r="CO13" s="137">
        <f t="shared" si="18"/>
        <v>0</v>
      </c>
      <c r="CP13" s="424"/>
      <c r="CQ13" s="138">
        <f t="shared" si="19"/>
        <v>0</v>
      </c>
    </row>
    <row r="14" spans="1:95" ht="30.45" customHeight="1">
      <c r="A14" s="587"/>
      <c r="B14" s="615">
        <v>10</v>
      </c>
      <c r="C14" s="613" t="s">
        <v>66</v>
      </c>
      <c r="D14" s="362" t="s">
        <v>130</v>
      </c>
      <c r="E14" s="617" t="s">
        <v>131</v>
      </c>
      <c r="F14" s="600"/>
      <c r="G14" s="601"/>
      <c r="H14" s="601"/>
      <c r="I14" s="602"/>
      <c r="J14" s="397" t="s">
        <v>132</v>
      </c>
      <c r="K14" s="398">
        <v>156</v>
      </c>
      <c r="L14" s="139">
        <f t="shared" si="0"/>
        <v>0.156</v>
      </c>
      <c r="M14" s="409">
        <v>0.5</v>
      </c>
      <c r="N14" s="140">
        <f t="shared" si="1"/>
        <v>7.8E-2</v>
      </c>
      <c r="O14" s="600"/>
      <c r="P14" s="601"/>
      <c r="Q14" s="601"/>
      <c r="R14" s="602"/>
      <c r="S14" s="397" t="s">
        <v>132</v>
      </c>
      <c r="T14" s="398">
        <v>156</v>
      </c>
      <c r="U14" s="139">
        <f t="shared" si="2"/>
        <v>0.156</v>
      </c>
      <c r="V14" s="409">
        <v>0.5</v>
      </c>
      <c r="W14" s="140">
        <f t="shared" si="3"/>
        <v>7.8E-2</v>
      </c>
      <c r="X14" s="600"/>
      <c r="Y14" s="601"/>
      <c r="Z14" s="601"/>
      <c r="AA14" s="602"/>
      <c r="AB14" s="397" t="s">
        <v>132</v>
      </c>
      <c r="AC14" s="398">
        <v>156</v>
      </c>
      <c r="AD14" s="139">
        <f t="shared" si="4"/>
        <v>0.156</v>
      </c>
      <c r="AE14" s="409">
        <v>0.5</v>
      </c>
      <c r="AF14" s="140">
        <f t="shared" si="5"/>
        <v>7.8E-2</v>
      </c>
      <c r="AG14" s="600"/>
      <c r="AH14" s="601"/>
      <c r="AI14" s="601"/>
      <c r="AJ14" s="602"/>
      <c r="AK14" s="397" t="s">
        <v>132</v>
      </c>
      <c r="AL14" s="398">
        <v>156</v>
      </c>
      <c r="AM14" s="139">
        <f t="shared" si="6"/>
        <v>0.156</v>
      </c>
      <c r="AN14" s="409">
        <v>0.5</v>
      </c>
      <c r="AO14" s="140">
        <f t="shared" si="7"/>
        <v>7.8E-2</v>
      </c>
      <c r="AP14" s="600"/>
      <c r="AQ14" s="601"/>
      <c r="AR14" s="601"/>
      <c r="AS14" s="602"/>
      <c r="AT14" s="420"/>
      <c r="AU14" s="398"/>
      <c r="AV14" s="139">
        <f t="shared" si="8"/>
        <v>0</v>
      </c>
      <c r="AW14" s="425"/>
      <c r="AX14" s="140">
        <f t="shared" si="9"/>
        <v>0</v>
      </c>
      <c r="AY14" s="600"/>
      <c r="AZ14" s="601"/>
      <c r="BA14" s="601"/>
      <c r="BB14" s="602"/>
      <c r="BC14" s="420"/>
      <c r="BD14" s="398"/>
      <c r="BE14" s="139">
        <f t="shared" si="10"/>
        <v>0</v>
      </c>
      <c r="BF14" s="425"/>
      <c r="BG14" s="140">
        <f t="shared" si="11"/>
        <v>0</v>
      </c>
      <c r="BH14" s="600"/>
      <c r="BI14" s="601"/>
      <c r="BJ14" s="601"/>
      <c r="BK14" s="602"/>
      <c r="BL14" s="420"/>
      <c r="BM14" s="398"/>
      <c r="BN14" s="139">
        <f t="shared" si="12"/>
        <v>0</v>
      </c>
      <c r="BO14" s="425"/>
      <c r="BP14" s="140">
        <f t="shared" si="13"/>
        <v>0</v>
      </c>
      <c r="BQ14" s="600"/>
      <c r="BR14" s="601"/>
      <c r="BS14" s="601"/>
      <c r="BT14" s="602"/>
      <c r="BU14" s="420"/>
      <c r="BV14" s="398"/>
      <c r="BW14" s="139">
        <f t="shared" si="14"/>
        <v>0</v>
      </c>
      <c r="BX14" s="425"/>
      <c r="BY14" s="140">
        <f t="shared" si="15"/>
        <v>0</v>
      </c>
      <c r="BZ14" s="600"/>
      <c r="CA14" s="601"/>
      <c r="CB14" s="601"/>
      <c r="CC14" s="602"/>
      <c r="CD14" s="420"/>
      <c r="CE14" s="398"/>
      <c r="CF14" s="139">
        <f t="shared" si="16"/>
        <v>0</v>
      </c>
      <c r="CG14" s="425"/>
      <c r="CH14" s="140">
        <f t="shared" si="17"/>
        <v>0</v>
      </c>
      <c r="CI14" s="600"/>
      <c r="CJ14" s="601"/>
      <c r="CK14" s="601"/>
      <c r="CL14" s="602"/>
      <c r="CM14" s="420"/>
      <c r="CN14" s="398"/>
      <c r="CO14" s="139">
        <f t="shared" si="18"/>
        <v>0</v>
      </c>
      <c r="CP14" s="425"/>
      <c r="CQ14" s="140">
        <f t="shared" si="19"/>
        <v>0</v>
      </c>
    </row>
    <row r="15" spans="1:95" ht="41.1" customHeight="1">
      <c r="A15" s="587"/>
      <c r="B15" s="616"/>
      <c r="C15" s="614"/>
      <c r="D15" s="130" t="s">
        <v>133</v>
      </c>
      <c r="E15" s="618"/>
      <c r="F15" s="600"/>
      <c r="G15" s="601"/>
      <c r="H15" s="601"/>
      <c r="I15" s="602"/>
      <c r="J15" s="392" t="s">
        <v>132</v>
      </c>
      <c r="K15" s="399">
        <v>296</v>
      </c>
      <c r="L15" s="114">
        <f t="shared" si="0"/>
        <v>0.29599999999999999</v>
      </c>
      <c r="M15" s="403">
        <v>0.5</v>
      </c>
      <c r="N15" s="115">
        <f t="shared" si="1"/>
        <v>0.14799999999999999</v>
      </c>
      <c r="O15" s="600"/>
      <c r="P15" s="601"/>
      <c r="Q15" s="601"/>
      <c r="R15" s="602"/>
      <c r="S15" s="392" t="s">
        <v>132</v>
      </c>
      <c r="T15" s="399">
        <v>296</v>
      </c>
      <c r="U15" s="114">
        <f t="shared" si="2"/>
        <v>0.29599999999999999</v>
      </c>
      <c r="V15" s="403">
        <v>0.5</v>
      </c>
      <c r="W15" s="115">
        <f t="shared" si="3"/>
        <v>0.14799999999999999</v>
      </c>
      <c r="X15" s="600"/>
      <c r="Y15" s="601"/>
      <c r="Z15" s="601"/>
      <c r="AA15" s="602"/>
      <c r="AB15" s="392" t="s">
        <v>132</v>
      </c>
      <c r="AC15" s="399">
        <v>296</v>
      </c>
      <c r="AD15" s="114">
        <f t="shared" si="4"/>
        <v>0.29599999999999999</v>
      </c>
      <c r="AE15" s="403">
        <v>0.5</v>
      </c>
      <c r="AF15" s="115">
        <f t="shared" si="5"/>
        <v>0.14799999999999999</v>
      </c>
      <c r="AG15" s="600"/>
      <c r="AH15" s="601"/>
      <c r="AI15" s="601"/>
      <c r="AJ15" s="602"/>
      <c r="AK15" s="392" t="s">
        <v>132</v>
      </c>
      <c r="AL15" s="399">
        <v>296</v>
      </c>
      <c r="AM15" s="114">
        <f t="shared" si="6"/>
        <v>0.29599999999999999</v>
      </c>
      <c r="AN15" s="403">
        <v>0.5</v>
      </c>
      <c r="AO15" s="115">
        <f t="shared" si="7"/>
        <v>0.14799999999999999</v>
      </c>
      <c r="AP15" s="600"/>
      <c r="AQ15" s="601"/>
      <c r="AR15" s="601"/>
      <c r="AS15" s="602"/>
      <c r="AT15" s="421"/>
      <c r="AU15" s="399"/>
      <c r="AV15" s="114">
        <f t="shared" si="8"/>
        <v>0</v>
      </c>
      <c r="AW15" s="413"/>
      <c r="AX15" s="115">
        <f t="shared" si="9"/>
        <v>0</v>
      </c>
      <c r="AY15" s="600"/>
      <c r="AZ15" s="601"/>
      <c r="BA15" s="601"/>
      <c r="BB15" s="602"/>
      <c r="BC15" s="421"/>
      <c r="BD15" s="399"/>
      <c r="BE15" s="114">
        <f t="shared" si="10"/>
        <v>0</v>
      </c>
      <c r="BF15" s="413"/>
      <c r="BG15" s="115">
        <f t="shared" si="11"/>
        <v>0</v>
      </c>
      <c r="BH15" s="600"/>
      <c r="BI15" s="601"/>
      <c r="BJ15" s="601"/>
      <c r="BK15" s="602"/>
      <c r="BL15" s="421"/>
      <c r="BM15" s="399"/>
      <c r="BN15" s="114">
        <f t="shared" si="12"/>
        <v>0</v>
      </c>
      <c r="BO15" s="413"/>
      <c r="BP15" s="115">
        <f t="shared" si="13"/>
        <v>0</v>
      </c>
      <c r="BQ15" s="600"/>
      <c r="BR15" s="601"/>
      <c r="BS15" s="601"/>
      <c r="BT15" s="602"/>
      <c r="BU15" s="421"/>
      <c r="BV15" s="399"/>
      <c r="BW15" s="114">
        <f t="shared" si="14"/>
        <v>0</v>
      </c>
      <c r="BX15" s="413"/>
      <c r="BY15" s="115">
        <f t="shared" si="15"/>
        <v>0</v>
      </c>
      <c r="BZ15" s="600"/>
      <c r="CA15" s="601"/>
      <c r="CB15" s="601"/>
      <c r="CC15" s="602"/>
      <c r="CD15" s="421"/>
      <c r="CE15" s="399"/>
      <c r="CF15" s="114">
        <f t="shared" si="16"/>
        <v>0</v>
      </c>
      <c r="CG15" s="413"/>
      <c r="CH15" s="115">
        <f t="shared" si="17"/>
        <v>0</v>
      </c>
      <c r="CI15" s="600"/>
      <c r="CJ15" s="601"/>
      <c r="CK15" s="601"/>
      <c r="CL15" s="602"/>
      <c r="CM15" s="421"/>
      <c r="CN15" s="399"/>
      <c r="CO15" s="114">
        <f t="shared" si="18"/>
        <v>0</v>
      </c>
      <c r="CP15" s="413"/>
      <c r="CQ15" s="115">
        <f t="shared" si="19"/>
        <v>0</v>
      </c>
    </row>
    <row r="16" spans="1:95" ht="30" customHeight="1">
      <c r="A16" s="587"/>
      <c r="B16" s="616"/>
      <c r="C16" s="614"/>
      <c r="D16" s="130" t="s">
        <v>134</v>
      </c>
      <c r="E16" s="618"/>
      <c r="F16" s="600"/>
      <c r="G16" s="601"/>
      <c r="H16" s="601"/>
      <c r="I16" s="602"/>
      <c r="J16" s="392" t="s">
        <v>132</v>
      </c>
      <c r="K16" s="399">
        <v>248</v>
      </c>
      <c r="L16" s="114">
        <f t="shared" si="0"/>
        <v>0.248</v>
      </c>
      <c r="M16" s="403">
        <v>0.5</v>
      </c>
      <c r="N16" s="115">
        <f t="shared" si="1"/>
        <v>0.124</v>
      </c>
      <c r="O16" s="600"/>
      <c r="P16" s="601"/>
      <c r="Q16" s="601"/>
      <c r="R16" s="602"/>
      <c r="S16" s="392" t="s">
        <v>132</v>
      </c>
      <c r="T16" s="399">
        <v>248</v>
      </c>
      <c r="U16" s="114">
        <f t="shared" si="2"/>
        <v>0.248</v>
      </c>
      <c r="V16" s="403">
        <v>0.5</v>
      </c>
      <c r="W16" s="115">
        <f t="shared" si="3"/>
        <v>0.124</v>
      </c>
      <c r="X16" s="600"/>
      <c r="Y16" s="601"/>
      <c r="Z16" s="601"/>
      <c r="AA16" s="602"/>
      <c r="AB16" s="392" t="s">
        <v>132</v>
      </c>
      <c r="AC16" s="399">
        <v>248</v>
      </c>
      <c r="AD16" s="114">
        <f t="shared" si="4"/>
        <v>0.248</v>
      </c>
      <c r="AE16" s="403">
        <v>0.5</v>
      </c>
      <c r="AF16" s="115">
        <f t="shared" si="5"/>
        <v>0.124</v>
      </c>
      <c r="AG16" s="600"/>
      <c r="AH16" s="601"/>
      <c r="AI16" s="601"/>
      <c r="AJ16" s="602"/>
      <c r="AK16" s="392" t="s">
        <v>132</v>
      </c>
      <c r="AL16" s="399">
        <v>248</v>
      </c>
      <c r="AM16" s="114">
        <f t="shared" si="6"/>
        <v>0.248</v>
      </c>
      <c r="AN16" s="403">
        <v>0.5</v>
      </c>
      <c r="AO16" s="115">
        <f t="shared" si="7"/>
        <v>0.124</v>
      </c>
      <c r="AP16" s="600"/>
      <c r="AQ16" s="601"/>
      <c r="AR16" s="601"/>
      <c r="AS16" s="602"/>
      <c r="AT16" s="421"/>
      <c r="AU16" s="399"/>
      <c r="AV16" s="114">
        <f t="shared" si="8"/>
        <v>0</v>
      </c>
      <c r="AW16" s="413"/>
      <c r="AX16" s="115">
        <f t="shared" si="9"/>
        <v>0</v>
      </c>
      <c r="AY16" s="600"/>
      <c r="AZ16" s="601"/>
      <c r="BA16" s="601"/>
      <c r="BB16" s="602"/>
      <c r="BC16" s="421"/>
      <c r="BD16" s="399"/>
      <c r="BE16" s="114">
        <f t="shared" si="10"/>
        <v>0</v>
      </c>
      <c r="BF16" s="413"/>
      <c r="BG16" s="115">
        <f t="shared" si="11"/>
        <v>0</v>
      </c>
      <c r="BH16" s="600"/>
      <c r="BI16" s="601"/>
      <c r="BJ16" s="601"/>
      <c r="BK16" s="602"/>
      <c r="BL16" s="421"/>
      <c r="BM16" s="399"/>
      <c r="BN16" s="114">
        <f t="shared" si="12"/>
        <v>0</v>
      </c>
      <c r="BO16" s="413"/>
      <c r="BP16" s="115">
        <f t="shared" si="13"/>
        <v>0</v>
      </c>
      <c r="BQ16" s="600"/>
      <c r="BR16" s="601"/>
      <c r="BS16" s="601"/>
      <c r="BT16" s="602"/>
      <c r="BU16" s="421"/>
      <c r="BV16" s="399"/>
      <c r="BW16" s="114">
        <f t="shared" si="14"/>
        <v>0</v>
      </c>
      <c r="BX16" s="413"/>
      <c r="BY16" s="115">
        <f t="shared" si="15"/>
        <v>0</v>
      </c>
      <c r="BZ16" s="600"/>
      <c r="CA16" s="601"/>
      <c r="CB16" s="601"/>
      <c r="CC16" s="602"/>
      <c r="CD16" s="421"/>
      <c r="CE16" s="399"/>
      <c r="CF16" s="114">
        <f t="shared" si="16"/>
        <v>0</v>
      </c>
      <c r="CG16" s="413"/>
      <c r="CH16" s="115">
        <f t="shared" si="17"/>
        <v>0</v>
      </c>
      <c r="CI16" s="600"/>
      <c r="CJ16" s="601"/>
      <c r="CK16" s="601"/>
      <c r="CL16" s="602"/>
      <c r="CM16" s="421"/>
      <c r="CN16" s="399"/>
      <c r="CO16" s="114">
        <f t="shared" si="18"/>
        <v>0</v>
      </c>
      <c r="CP16" s="413"/>
      <c r="CQ16" s="115">
        <f t="shared" si="19"/>
        <v>0</v>
      </c>
    </row>
    <row r="17" spans="1:95" ht="30" customHeight="1">
      <c r="A17" s="587"/>
      <c r="B17" s="616"/>
      <c r="C17" s="614"/>
      <c r="D17" s="130" t="s">
        <v>102</v>
      </c>
      <c r="E17" s="618"/>
      <c r="F17" s="600"/>
      <c r="G17" s="601"/>
      <c r="H17" s="601"/>
      <c r="I17" s="602"/>
      <c r="J17" s="392" t="s">
        <v>132</v>
      </c>
      <c r="K17" s="399">
        <v>2935</v>
      </c>
      <c r="L17" s="114">
        <f t="shared" si="0"/>
        <v>2.9350000000000001</v>
      </c>
      <c r="M17" s="403">
        <v>0.5</v>
      </c>
      <c r="N17" s="115">
        <f t="shared" si="1"/>
        <v>1.4675</v>
      </c>
      <c r="O17" s="600"/>
      <c r="P17" s="601"/>
      <c r="Q17" s="601"/>
      <c r="R17" s="602"/>
      <c r="S17" s="392" t="s">
        <v>132</v>
      </c>
      <c r="T17" s="399">
        <v>2935</v>
      </c>
      <c r="U17" s="114">
        <f t="shared" si="2"/>
        <v>2.9350000000000001</v>
      </c>
      <c r="V17" s="403">
        <v>0.5</v>
      </c>
      <c r="W17" s="115">
        <f t="shared" si="3"/>
        <v>1.4675</v>
      </c>
      <c r="X17" s="600"/>
      <c r="Y17" s="601"/>
      <c r="Z17" s="601"/>
      <c r="AA17" s="602"/>
      <c r="AB17" s="392" t="s">
        <v>132</v>
      </c>
      <c r="AC17" s="399">
        <v>2935</v>
      </c>
      <c r="AD17" s="114">
        <f t="shared" si="4"/>
        <v>2.9350000000000001</v>
      </c>
      <c r="AE17" s="403">
        <v>0.5</v>
      </c>
      <c r="AF17" s="115">
        <f t="shared" si="5"/>
        <v>1.4675</v>
      </c>
      <c r="AG17" s="600"/>
      <c r="AH17" s="601"/>
      <c r="AI17" s="601"/>
      <c r="AJ17" s="602"/>
      <c r="AK17" s="392" t="s">
        <v>132</v>
      </c>
      <c r="AL17" s="399">
        <v>2935</v>
      </c>
      <c r="AM17" s="114">
        <f t="shared" si="6"/>
        <v>2.9350000000000001</v>
      </c>
      <c r="AN17" s="403">
        <v>0.5</v>
      </c>
      <c r="AO17" s="115">
        <f t="shared" si="7"/>
        <v>1.4675</v>
      </c>
      <c r="AP17" s="600"/>
      <c r="AQ17" s="601"/>
      <c r="AR17" s="601"/>
      <c r="AS17" s="602"/>
      <c r="AT17" s="421"/>
      <c r="AU17" s="399"/>
      <c r="AV17" s="114">
        <f t="shared" si="8"/>
        <v>0</v>
      </c>
      <c r="AW17" s="413"/>
      <c r="AX17" s="115">
        <f t="shared" si="9"/>
        <v>0</v>
      </c>
      <c r="AY17" s="600"/>
      <c r="AZ17" s="601"/>
      <c r="BA17" s="601"/>
      <c r="BB17" s="602"/>
      <c r="BC17" s="421"/>
      <c r="BD17" s="399"/>
      <c r="BE17" s="114">
        <f t="shared" si="10"/>
        <v>0</v>
      </c>
      <c r="BF17" s="413"/>
      <c r="BG17" s="115">
        <f t="shared" si="11"/>
        <v>0</v>
      </c>
      <c r="BH17" s="600"/>
      <c r="BI17" s="601"/>
      <c r="BJ17" s="601"/>
      <c r="BK17" s="602"/>
      <c r="BL17" s="421"/>
      <c r="BM17" s="399"/>
      <c r="BN17" s="114">
        <f t="shared" si="12"/>
        <v>0</v>
      </c>
      <c r="BO17" s="413"/>
      <c r="BP17" s="115">
        <f t="shared" si="13"/>
        <v>0</v>
      </c>
      <c r="BQ17" s="600"/>
      <c r="BR17" s="601"/>
      <c r="BS17" s="601"/>
      <c r="BT17" s="602"/>
      <c r="BU17" s="421"/>
      <c r="BV17" s="399"/>
      <c r="BW17" s="114">
        <f t="shared" si="14"/>
        <v>0</v>
      </c>
      <c r="BX17" s="413"/>
      <c r="BY17" s="115">
        <f t="shared" si="15"/>
        <v>0</v>
      </c>
      <c r="BZ17" s="600"/>
      <c r="CA17" s="601"/>
      <c r="CB17" s="601"/>
      <c r="CC17" s="602"/>
      <c r="CD17" s="421"/>
      <c r="CE17" s="399"/>
      <c r="CF17" s="114">
        <f t="shared" si="16"/>
        <v>0</v>
      </c>
      <c r="CG17" s="413"/>
      <c r="CH17" s="115">
        <f t="shared" si="17"/>
        <v>0</v>
      </c>
      <c r="CI17" s="600"/>
      <c r="CJ17" s="601"/>
      <c r="CK17" s="601"/>
      <c r="CL17" s="602"/>
      <c r="CM17" s="421"/>
      <c r="CN17" s="399"/>
      <c r="CO17" s="114">
        <f t="shared" si="18"/>
        <v>0</v>
      </c>
      <c r="CP17" s="413"/>
      <c r="CQ17" s="115">
        <f t="shared" si="19"/>
        <v>0</v>
      </c>
    </row>
    <row r="18" spans="1:95" ht="30.45" customHeight="1">
      <c r="A18" s="587"/>
      <c r="B18" s="616"/>
      <c r="C18" s="614"/>
      <c r="D18" s="132" t="s">
        <v>135</v>
      </c>
      <c r="E18" s="619"/>
      <c r="F18" s="600"/>
      <c r="G18" s="601"/>
      <c r="H18" s="601"/>
      <c r="I18" s="602"/>
      <c r="J18" s="393" t="s">
        <v>132</v>
      </c>
      <c r="K18" s="400">
        <v>197</v>
      </c>
      <c r="L18" s="134">
        <f t="shared" si="0"/>
        <v>0.19700000000000001</v>
      </c>
      <c r="M18" s="407">
        <v>0.5</v>
      </c>
      <c r="N18" s="135">
        <f t="shared" si="1"/>
        <v>9.8500000000000004E-2</v>
      </c>
      <c r="O18" s="600"/>
      <c r="P18" s="601"/>
      <c r="Q18" s="601"/>
      <c r="R18" s="602"/>
      <c r="S18" s="393" t="s">
        <v>132</v>
      </c>
      <c r="T18" s="400">
        <v>197</v>
      </c>
      <c r="U18" s="134">
        <f t="shared" si="2"/>
        <v>0.19700000000000001</v>
      </c>
      <c r="V18" s="407">
        <v>0.5</v>
      </c>
      <c r="W18" s="135">
        <f t="shared" si="3"/>
        <v>9.8500000000000004E-2</v>
      </c>
      <c r="X18" s="600"/>
      <c r="Y18" s="601"/>
      <c r="Z18" s="601"/>
      <c r="AA18" s="602"/>
      <c r="AB18" s="393" t="s">
        <v>132</v>
      </c>
      <c r="AC18" s="400">
        <v>197</v>
      </c>
      <c r="AD18" s="134">
        <f t="shared" si="4"/>
        <v>0.19700000000000001</v>
      </c>
      <c r="AE18" s="407">
        <v>0.5</v>
      </c>
      <c r="AF18" s="135">
        <f t="shared" si="5"/>
        <v>9.8500000000000004E-2</v>
      </c>
      <c r="AG18" s="600"/>
      <c r="AH18" s="601"/>
      <c r="AI18" s="601"/>
      <c r="AJ18" s="602"/>
      <c r="AK18" s="393" t="s">
        <v>132</v>
      </c>
      <c r="AL18" s="400">
        <v>197</v>
      </c>
      <c r="AM18" s="134">
        <f t="shared" si="6"/>
        <v>0.19700000000000001</v>
      </c>
      <c r="AN18" s="407">
        <v>0.5</v>
      </c>
      <c r="AO18" s="135">
        <f t="shared" si="7"/>
        <v>9.8500000000000004E-2</v>
      </c>
      <c r="AP18" s="600"/>
      <c r="AQ18" s="601"/>
      <c r="AR18" s="601"/>
      <c r="AS18" s="602"/>
      <c r="AT18" s="418"/>
      <c r="AU18" s="400"/>
      <c r="AV18" s="134">
        <f t="shared" si="8"/>
        <v>0</v>
      </c>
      <c r="AW18" s="423"/>
      <c r="AX18" s="135">
        <f t="shared" si="9"/>
        <v>0</v>
      </c>
      <c r="AY18" s="600"/>
      <c r="AZ18" s="601"/>
      <c r="BA18" s="601"/>
      <c r="BB18" s="602"/>
      <c r="BC18" s="418"/>
      <c r="BD18" s="400"/>
      <c r="BE18" s="134">
        <f t="shared" si="10"/>
        <v>0</v>
      </c>
      <c r="BF18" s="423"/>
      <c r="BG18" s="135">
        <f t="shared" si="11"/>
        <v>0</v>
      </c>
      <c r="BH18" s="600"/>
      <c r="BI18" s="601"/>
      <c r="BJ18" s="601"/>
      <c r="BK18" s="602"/>
      <c r="BL18" s="418"/>
      <c r="BM18" s="400"/>
      <c r="BN18" s="134">
        <f t="shared" si="12"/>
        <v>0</v>
      </c>
      <c r="BO18" s="423"/>
      <c r="BP18" s="135">
        <f t="shared" si="13"/>
        <v>0</v>
      </c>
      <c r="BQ18" s="600"/>
      <c r="BR18" s="601"/>
      <c r="BS18" s="601"/>
      <c r="BT18" s="602"/>
      <c r="BU18" s="418"/>
      <c r="BV18" s="400"/>
      <c r="BW18" s="134">
        <f t="shared" si="14"/>
        <v>0</v>
      </c>
      <c r="BX18" s="423"/>
      <c r="BY18" s="135">
        <f t="shared" si="15"/>
        <v>0</v>
      </c>
      <c r="BZ18" s="600"/>
      <c r="CA18" s="601"/>
      <c r="CB18" s="601"/>
      <c r="CC18" s="602"/>
      <c r="CD18" s="418"/>
      <c r="CE18" s="400"/>
      <c r="CF18" s="134">
        <f t="shared" si="16"/>
        <v>0</v>
      </c>
      <c r="CG18" s="423"/>
      <c r="CH18" s="135">
        <f t="shared" si="17"/>
        <v>0</v>
      </c>
      <c r="CI18" s="600"/>
      <c r="CJ18" s="601"/>
      <c r="CK18" s="601"/>
      <c r="CL18" s="602"/>
      <c r="CM18" s="418"/>
      <c r="CN18" s="400"/>
      <c r="CO18" s="134">
        <f t="shared" si="18"/>
        <v>0</v>
      </c>
      <c r="CP18" s="423"/>
      <c r="CQ18" s="135">
        <f t="shared" si="19"/>
        <v>0</v>
      </c>
    </row>
    <row r="19" spans="1:95" ht="30.45" customHeight="1">
      <c r="A19" s="587"/>
      <c r="B19" s="620">
        <v>13</v>
      </c>
      <c r="C19" s="623" t="s">
        <v>68</v>
      </c>
      <c r="D19" s="362" t="s">
        <v>80</v>
      </c>
      <c r="E19" s="366" t="s">
        <v>136</v>
      </c>
      <c r="F19" s="600"/>
      <c r="G19" s="601"/>
      <c r="H19" s="601"/>
      <c r="I19" s="602"/>
      <c r="J19" s="397" t="s">
        <v>137</v>
      </c>
      <c r="K19" s="401">
        <v>0.251</v>
      </c>
      <c r="L19" s="139">
        <f t="shared" si="0"/>
        <v>2.5099999999999998E-4</v>
      </c>
      <c r="M19" s="409">
        <v>0.2</v>
      </c>
      <c r="N19" s="140">
        <f t="shared" si="1"/>
        <v>5.02E-5</v>
      </c>
      <c r="O19" s="600"/>
      <c r="P19" s="601"/>
      <c r="Q19" s="601"/>
      <c r="R19" s="602"/>
      <c r="S19" s="397" t="s">
        <v>137</v>
      </c>
      <c r="T19" s="401">
        <v>0.251</v>
      </c>
      <c r="U19" s="139">
        <f t="shared" si="2"/>
        <v>2.5099999999999998E-4</v>
      </c>
      <c r="V19" s="409">
        <v>0.2</v>
      </c>
      <c r="W19" s="140">
        <f t="shared" si="3"/>
        <v>5.02E-5</v>
      </c>
      <c r="X19" s="600"/>
      <c r="Y19" s="601"/>
      <c r="Z19" s="601"/>
      <c r="AA19" s="602"/>
      <c r="AB19" s="397" t="s">
        <v>137</v>
      </c>
      <c r="AC19" s="401">
        <v>0.251</v>
      </c>
      <c r="AD19" s="139">
        <f t="shared" si="4"/>
        <v>2.5099999999999998E-4</v>
      </c>
      <c r="AE19" s="409">
        <v>0.2</v>
      </c>
      <c r="AF19" s="140">
        <f t="shared" si="5"/>
        <v>5.02E-5</v>
      </c>
      <c r="AG19" s="600"/>
      <c r="AH19" s="601"/>
      <c r="AI19" s="601"/>
      <c r="AJ19" s="602"/>
      <c r="AK19" s="420"/>
      <c r="AL19" s="401"/>
      <c r="AM19" s="139">
        <f t="shared" si="6"/>
        <v>0</v>
      </c>
      <c r="AN19" s="425"/>
      <c r="AO19" s="140">
        <f t="shared" si="7"/>
        <v>0</v>
      </c>
      <c r="AP19" s="600"/>
      <c r="AQ19" s="601"/>
      <c r="AR19" s="601"/>
      <c r="AS19" s="602"/>
      <c r="AT19" s="420"/>
      <c r="AU19" s="401"/>
      <c r="AV19" s="139">
        <f t="shared" si="8"/>
        <v>0</v>
      </c>
      <c r="AW19" s="425"/>
      <c r="AX19" s="140">
        <f t="shared" si="9"/>
        <v>0</v>
      </c>
      <c r="AY19" s="600"/>
      <c r="AZ19" s="601"/>
      <c r="BA19" s="601"/>
      <c r="BB19" s="602"/>
      <c r="BC19" s="420"/>
      <c r="BD19" s="401"/>
      <c r="BE19" s="139">
        <f t="shared" si="10"/>
        <v>0</v>
      </c>
      <c r="BF19" s="425"/>
      <c r="BG19" s="140">
        <f t="shared" si="11"/>
        <v>0</v>
      </c>
      <c r="BH19" s="600"/>
      <c r="BI19" s="601"/>
      <c r="BJ19" s="601"/>
      <c r="BK19" s="602"/>
      <c r="BL19" s="420"/>
      <c r="BM19" s="401"/>
      <c r="BN19" s="139">
        <f t="shared" si="12"/>
        <v>0</v>
      </c>
      <c r="BO19" s="425"/>
      <c r="BP19" s="140">
        <f t="shared" si="13"/>
        <v>0</v>
      </c>
      <c r="BQ19" s="600"/>
      <c r="BR19" s="601"/>
      <c r="BS19" s="601"/>
      <c r="BT19" s="602"/>
      <c r="BU19" s="420"/>
      <c r="BV19" s="401"/>
      <c r="BW19" s="139">
        <f t="shared" si="14"/>
        <v>0</v>
      </c>
      <c r="BX19" s="425"/>
      <c r="BY19" s="140">
        <f t="shared" si="15"/>
        <v>0</v>
      </c>
      <c r="BZ19" s="600"/>
      <c r="CA19" s="601"/>
      <c r="CB19" s="601"/>
      <c r="CC19" s="602"/>
      <c r="CD19" s="420"/>
      <c r="CE19" s="401"/>
      <c r="CF19" s="139">
        <f t="shared" si="16"/>
        <v>0</v>
      </c>
      <c r="CG19" s="425"/>
      <c r="CH19" s="140">
        <f t="shared" si="17"/>
        <v>0</v>
      </c>
      <c r="CI19" s="600"/>
      <c r="CJ19" s="601"/>
      <c r="CK19" s="601"/>
      <c r="CL19" s="602"/>
      <c r="CM19" s="420"/>
      <c r="CN19" s="401"/>
      <c r="CO19" s="139">
        <f t="shared" si="18"/>
        <v>0</v>
      </c>
      <c r="CP19" s="425"/>
      <c r="CQ19" s="140">
        <f t="shared" si="19"/>
        <v>0</v>
      </c>
    </row>
    <row r="20" spans="1:95" ht="41.1" customHeight="1">
      <c r="A20" s="587"/>
      <c r="B20" s="621"/>
      <c r="C20" s="624"/>
      <c r="D20" s="130" t="s">
        <v>138</v>
      </c>
      <c r="E20" s="131" t="s">
        <v>139</v>
      </c>
      <c r="F20" s="600"/>
      <c r="G20" s="601"/>
      <c r="H20" s="601"/>
      <c r="I20" s="602"/>
      <c r="J20" s="392" t="s">
        <v>140</v>
      </c>
      <c r="K20" s="383">
        <v>0.223</v>
      </c>
      <c r="L20" s="114">
        <f t="shared" si="0"/>
        <v>2.23E-4</v>
      </c>
      <c r="M20" s="403">
        <v>0.5</v>
      </c>
      <c r="N20" s="115">
        <f t="shared" si="1"/>
        <v>1.115E-4</v>
      </c>
      <c r="O20" s="600"/>
      <c r="P20" s="601"/>
      <c r="Q20" s="601"/>
      <c r="R20" s="602"/>
      <c r="S20" s="392" t="s">
        <v>140</v>
      </c>
      <c r="T20" s="383">
        <v>0.223</v>
      </c>
      <c r="U20" s="114">
        <f t="shared" si="2"/>
        <v>2.23E-4</v>
      </c>
      <c r="V20" s="403">
        <v>0.5</v>
      </c>
      <c r="W20" s="115">
        <f t="shared" si="3"/>
        <v>1.115E-4</v>
      </c>
      <c r="X20" s="600"/>
      <c r="Y20" s="601"/>
      <c r="Z20" s="601"/>
      <c r="AA20" s="602"/>
      <c r="AB20" s="392" t="s">
        <v>140</v>
      </c>
      <c r="AC20" s="383">
        <v>0.223</v>
      </c>
      <c r="AD20" s="114">
        <f t="shared" si="4"/>
        <v>2.23E-4</v>
      </c>
      <c r="AE20" s="403">
        <v>0.5</v>
      </c>
      <c r="AF20" s="115">
        <f t="shared" si="5"/>
        <v>1.115E-4</v>
      </c>
      <c r="AG20" s="600"/>
      <c r="AH20" s="601"/>
      <c r="AI20" s="601"/>
      <c r="AJ20" s="602"/>
      <c r="AK20" s="421"/>
      <c r="AL20" s="383"/>
      <c r="AM20" s="114">
        <f t="shared" si="6"/>
        <v>0</v>
      </c>
      <c r="AN20" s="413"/>
      <c r="AO20" s="115">
        <f t="shared" si="7"/>
        <v>0</v>
      </c>
      <c r="AP20" s="600"/>
      <c r="AQ20" s="601"/>
      <c r="AR20" s="601"/>
      <c r="AS20" s="602"/>
      <c r="AT20" s="421"/>
      <c r="AU20" s="383"/>
      <c r="AV20" s="114">
        <f t="shared" si="8"/>
        <v>0</v>
      </c>
      <c r="AW20" s="413"/>
      <c r="AX20" s="115">
        <f t="shared" si="9"/>
        <v>0</v>
      </c>
      <c r="AY20" s="600"/>
      <c r="AZ20" s="601"/>
      <c r="BA20" s="601"/>
      <c r="BB20" s="602"/>
      <c r="BC20" s="421"/>
      <c r="BD20" s="383"/>
      <c r="BE20" s="114">
        <f t="shared" si="10"/>
        <v>0</v>
      </c>
      <c r="BF20" s="413"/>
      <c r="BG20" s="115">
        <f t="shared" si="11"/>
        <v>0</v>
      </c>
      <c r="BH20" s="600"/>
      <c r="BI20" s="601"/>
      <c r="BJ20" s="601"/>
      <c r="BK20" s="602"/>
      <c r="BL20" s="421"/>
      <c r="BM20" s="383"/>
      <c r="BN20" s="114">
        <f t="shared" si="12"/>
        <v>0</v>
      </c>
      <c r="BO20" s="413"/>
      <c r="BP20" s="115">
        <f t="shared" si="13"/>
        <v>0</v>
      </c>
      <c r="BQ20" s="600"/>
      <c r="BR20" s="601"/>
      <c r="BS20" s="601"/>
      <c r="BT20" s="602"/>
      <c r="BU20" s="421"/>
      <c r="BV20" s="383"/>
      <c r="BW20" s="114">
        <f t="shared" si="14"/>
        <v>0</v>
      </c>
      <c r="BX20" s="413"/>
      <c r="BY20" s="115">
        <f t="shared" si="15"/>
        <v>0</v>
      </c>
      <c r="BZ20" s="600"/>
      <c r="CA20" s="601"/>
      <c r="CB20" s="601"/>
      <c r="CC20" s="602"/>
      <c r="CD20" s="421"/>
      <c r="CE20" s="383"/>
      <c r="CF20" s="114">
        <f t="shared" si="16"/>
        <v>0</v>
      </c>
      <c r="CG20" s="413"/>
      <c r="CH20" s="115">
        <f t="shared" si="17"/>
        <v>0</v>
      </c>
      <c r="CI20" s="600"/>
      <c r="CJ20" s="601"/>
      <c r="CK20" s="601"/>
      <c r="CL20" s="602"/>
      <c r="CM20" s="421"/>
      <c r="CN20" s="383"/>
      <c r="CO20" s="114">
        <f t="shared" si="18"/>
        <v>0</v>
      </c>
      <c r="CP20" s="413"/>
      <c r="CQ20" s="115">
        <f t="shared" si="19"/>
        <v>0</v>
      </c>
    </row>
    <row r="21" spans="1:95" ht="41.1" customHeight="1">
      <c r="A21" s="587"/>
      <c r="B21" s="621"/>
      <c r="C21" s="624"/>
      <c r="D21" s="130" t="s">
        <v>141</v>
      </c>
      <c r="E21" s="131" t="s">
        <v>139</v>
      </c>
      <c r="F21" s="600"/>
      <c r="G21" s="601"/>
      <c r="H21" s="601"/>
      <c r="I21" s="602"/>
      <c r="J21" s="392" t="s">
        <v>140</v>
      </c>
      <c r="K21" s="383">
        <v>0.29299999999999998</v>
      </c>
      <c r="L21" s="114">
        <f t="shared" si="0"/>
        <v>2.9299999999999997E-4</v>
      </c>
      <c r="M21" s="403">
        <v>0.5</v>
      </c>
      <c r="N21" s="115">
        <f t="shared" si="1"/>
        <v>1.4649999999999998E-4</v>
      </c>
      <c r="O21" s="600"/>
      <c r="P21" s="601"/>
      <c r="Q21" s="601"/>
      <c r="R21" s="602"/>
      <c r="S21" s="392" t="s">
        <v>140</v>
      </c>
      <c r="T21" s="383">
        <v>0.29299999999999998</v>
      </c>
      <c r="U21" s="114">
        <f t="shared" si="2"/>
        <v>2.9299999999999997E-4</v>
      </c>
      <c r="V21" s="403">
        <v>0.5</v>
      </c>
      <c r="W21" s="115">
        <f t="shared" si="3"/>
        <v>1.4649999999999998E-4</v>
      </c>
      <c r="X21" s="600"/>
      <c r="Y21" s="601"/>
      <c r="Z21" s="601"/>
      <c r="AA21" s="602"/>
      <c r="AB21" s="392" t="s">
        <v>140</v>
      </c>
      <c r="AC21" s="383">
        <v>0.29299999999999998</v>
      </c>
      <c r="AD21" s="114">
        <f t="shared" si="4"/>
        <v>2.9299999999999997E-4</v>
      </c>
      <c r="AE21" s="403">
        <v>0.5</v>
      </c>
      <c r="AF21" s="115">
        <f t="shared" si="5"/>
        <v>1.4649999999999998E-4</v>
      </c>
      <c r="AG21" s="600"/>
      <c r="AH21" s="601"/>
      <c r="AI21" s="601"/>
      <c r="AJ21" s="602"/>
      <c r="AK21" s="421"/>
      <c r="AL21" s="383"/>
      <c r="AM21" s="114">
        <f t="shared" si="6"/>
        <v>0</v>
      </c>
      <c r="AN21" s="413"/>
      <c r="AO21" s="115">
        <f t="shared" si="7"/>
        <v>0</v>
      </c>
      <c r="AP21" s="600"/>
      <c r="AQ21" s="601"/>
      <c r="AR21" s="601"/>
      <c r="AS21" s="602"/>
      <c r="AT21" s="421"/>
      <c r="AU21" s="383"/>
      <c r="AV21" s="114">
        <f t="shared" si="8"/>
        <v>0</v>
      </c>
      <c r="AW21" s="413"/>
      <c r="AX21" s="115">
        <f t="shared" si="9"/>
        <v>0</v>
      </c>
      <c r="AY21" s="600"/>
      <c r="AZ21" s="601"/>
      <c r="BA21" s="601"/>
      <c r="BB21" s="602"/>
      <c r="BC21" s="421"/>
      <c r="BD21" s="383"/>
      <c r="BE21" s="114">
        <f t="shared" si="10"/>
        <v>0</v>
      </c>
      <c r="BF21" s="413"/>
      <c r="BG21" s="115">
        <f t="shared" si="11"/>
        <v>0</v>
      </c>
      <c r="BH21" s="600"/>
      <c r="BI21" s="601"/>
      <c r="BJ21" s="601"/>
      <c r="BK21" s="602"/>
      <c r="BL21" s="421"/>
      <c r="BM21" s="383"/>
      <c r="BN21" s="114">
        <f t="shared" si="12"/>
        <v>0</v>
      </c>
      <c r="BO21" s="413"/>
      <c r="BP21" s="115">
        <f t="shared" si="13"/>
        <v>0</v>
      </c>
      <c r="BQ21" s="600"/>
      <c r="BR21" s="601"/>
      <c r="BS21" s="601"/>
      <c r="BT21" s="602"/>
      <c r="BU21" s="421"/>
      <c r="BV21" s="383"/>
      <c r="BW21" s="114">
        <f t="shared" si="14"/>
        <v>0</v>
      </c>
      <c r="BX21" s="413"/>
      <c r="BY21" s="115">
        <f t="shared" si="15"/>
        <v>0</v>
      </c>
      <c r="BZ21" s="600"/>
      <c r="CA21" s="601"/>
      <c r="CB21" s="601"/>
      <c r="CC21" s="602"/>
      <c r="CD21" s="421"/>
      <c r="CE21" s="383"/>
      <c r="CF21" s="114">
        <f t="shared" si="16"/>
        <v>0</v>
      </c>
      <c r="CG21" s="413"/>
      <c r="CH21" s="115">
        <f t="shared" si="17"/>
        <v>0</v>
      </c>
      <c r="CI21" s="600"/>
      <c r="CJ21" s="601"/>
      <c r="CK21" s="601"/>
      <c r="CL21" s="602"/>
      <c r="CM21" s="421"/>
      <c r="CN21" s="383"/>
      <c r="CO21" s="114">
        <f t="shared" si="18"/>
        <v>0</v>
      </c>
      <c r="CP21" s="413"/>
      <c r="CQ21" s="115">
        <f t="shared" si="19"/>
        <v>0</v>
      </c>
    </row>
    <row r="22" spans="1:95" ht="30" customHeight="1">
      <c r="A22" s="587"/>
      <c r="B22" s="621"/>
      <c r="C22" s="624"/>
      <c r="D22" s="130" t="s">
        <v>142</v>
      </c>
      <c r="E22" s="131" t="s">
        <v>143</v>
      </c>
      <c r="F22" s="600"/>
      <c r="G22" s="601"/>
      <c r="H22" s="601"/>
      <c r="I22" s="602"/>
      <c r="J22" s="392" t="s">
        <v>140</v>
      </c>
      <c r="K22" s="383">
        <v>3.6900000000000001E-3</v>
      </c>
      <c r="L22" s="114">
        <f t="shared" si="0"/>
        <v>3.6900000000000002E-6</v>
      </c>
      <c r="M22" s="403">
        <v>0.6</v>
      </c>
      <c r="N22" s="115">
        <f t="shared" si="1"/>
        <v>2.2139999999999999E-6</v>
      </c>
      <c r="O22" s="600"/>
      <c r="P22" s="601"/>
      <c r="Q22" s="601"/>
      <c r="R22" s="602"/>
      <c r="S22" s="392" t="s">
        <v>140</v>
      </c>
      <c r="T22" s="383">
        <v>3.6900000000000001E-3</v>
      </c>
      <c r="U22" s="114">
        <f t="shared" si="2"/>
        <v>3.6900000000000002E-6</v>
      </c>
      <c r="V22" s="403">
        <v>0.6</v>
      </c>
      <c r="W22" s="115">
        <f t="shared" si="3"/>
        <v>2.2139999999999999E-6</v>
      </c>
      <c r="X22" s="600"/>
      <c r="Y22" s="601"/>
      <c r="Z22" s="601"/>
      <c r="AA22" s="602"/>
      <c r="AB22" s="392" t="s">
        <v>140</v>
      </c>
      <c r="AC22" s="383">
        <v>3.6900000000000001E-3</v>
      </c>
      <c r="AD22" s="114">
        <f t="shared" si="4"/>
        <v>3.6900000000000002E-6</v>
      </c>
      <c r="AE22" s="403">
        <v>0.6</v>
      </c>
      <c r="AF22" s="115">
        <f t="shared" si="5"/>
        <v>2.2139999999999999E-6</v>
      </c>
      <c r="AG22" s="600"/>
      <c r="AH22" s="601"/>
      <c r="AI22" s="601"/>
      <c r="AJ22" s="602"/>
      <c r="AK22" s="421"/>
      <c r="AL22" s="383"/>
      <c r="AM22" s="114">
        <f t="shared" si="6"/>
        <v>0</v>
      </c>
      <c r="AN22" s="413"/>
      <c r="AO22" s="115">
        <f t="shared" si="7"/>
        <v>0</v>
      </c>
      <c r="AP22" s="600"/>
      <c r="AQ22" s="601"/>
      <c r="AR22" s="601"/>
      <c r="AS22" s="602"/>
      <c r="AT22" s="421"/>
      <c r="AU22" s="383"/>
      <c r="AV22" s="114">
        <f t="shared" si="8"/>
        <v>0</v>
      </c>
      <c r="AW22" s="413"/>
      <c r="AX22" s="115">
        <f t="shared" si="9"/>
        <v>0</v>
      </c>
      <c r="AY22" s="600"/>
      <c r="AZ22" s="601"/>
      <c r="BA22" s="601"/>
      <c r="BB22" s="602"/>
      <c r="BC22" s="421"/>
      <c r="BD22" s="383"/>
      <c r="BE22" s="114">
        <f t="shared" si="10"/>
        <v>0</v>
      </c>
      <c r="BF22" s="413"/>
      <c r="BG22" s="115">
        <f t="shared" si="11"/>
        <v>0</v>
      </c>
      <c r="BH22" s="600"/>
      <c r="BI22" s="601"/>
      <c r="BJ22" s="601"/>
      <c r="BK22" s="602"/>
      <c r="BL22" s="421"/>
      <c r="BM22" s="383"/>
      <c r="BN22" s="114">
        <f t="shared" si="12"/>
        <v>0</v>
      </c>
      <c r="BO22" s="413"/>
      <c r="BP22" s="115">
        <f t="shared" si="13"/>
        <v>0</v>
      </c>
      <c r="BQ22" s="600"/>
      <c r="BR22" s="601"/>
      <c r="BS22" s="601"/>
      <c r="BT22" s="602"/>
      <c r="BU22" s="421"/>
      <c r="BV22" s="383"/>
      <c r="BW22" s="114">
        <f t="shared" si="14"/>
        <v>0</v>
      </c>
      <c r="BX22" s="413"/>
      <c r="BY22" s="115">
        <f t="shared" si="15"/>
        <v>0</v>
      </c>
      <c r="BZ22" s="600"/>
      <c r="CA22" s="601"/>
      <c r="CB22" s="601"/>
      <c r="CC22" s="602"/>
      <c r="CD22" s="421"/>
      <c r="CE22" s="383"/>
      <c r="CF22" s="114">
        <f t="shared" si="16"/>
        <v>0</v>
      </c>
      <c r="CG22" s="413"/>
      <c r="CH22" s="115">
        <f t="shared" si="17"/>
        <v>0</v>
      </c>
      <c r="CI22" s="600"/>
      <c r="CJ22" s="601"/>
      <c r="CK22" s="601"/>
      <c r="CL22" s="602"/>
      <c r="CM22" s="421"/>
      <c r="CN22" s="383"/>
      <c r="CO22" s="114">
        <f t="shared" si="18"/>
        <v>0</v>
      </c>
      <c r="CP22" s="413"/>
      <c r="CQ22" s="115">
        <f t="shared" si="19"/>
        <v>0</v>
      </c>
    </row>
    <row r="23" spans="1:95" ht="52.35" customHeight="1">
      <c r="A23" s="587"/>
      <c r="B23" s="626"/>
      <c r="C23" s="627"/>
      <c r="D23" s="132" t="s">
        <v>144</v>
      </c>
      <c r="E23" s="133" t="s">
        <v>145</v>
      </c>
      <c r="F23" s="600"/>
      <c r="G23" s="601"/>
      <c r="H23" s="601"/>
      <c r="I23" s="602"/>
      <c r="J23" s="393" t="s">
        <v>140</v>
      </c>
      <c r="K23" s="394">
        <v>0.154</v>
      </c>
      <c r="L23" s="134">
        <f t="shared" si="0"/>
        <v>1.54E-4</v>
      </c>
      <c r="M23" s="407">
        <v>0.6</v>
      </c>
      <c r="N23" s="135">
        <f t="shared" si="1"/>
        <v>9.2399999999999996E-5</v>
      </c>
      <c r="O23" s="600"/>
      <c r="P23" s="601"/>
      <c r="Q23" s="601"/>
      <c r="R23" s="602"/>
      <c r="S23" s="393" t="s">
        <v>140</v>
      </c>
      <c r="T23" s="394">
        <v>0.154</v>
      </c>
      <c r="U23" s="134">
        <f t="shared" si="2"/>
        <v>1.54E-4</v>
      </c>
      <c r="V23" s="407">
        <v>0.6</v>
      </c>
      <c r="W23" s="135">
        <f t="shared" si="3"/>
        <v>9.2399999999999996E-5</v>
      </c>
      <c r="X23" s="600"/>
      <c r="Y23" s="601"/>
      <c r="Z23" s="601"/>
      <c r="AA23" s="602"/>
      <c r="AB23" s="393" t="s">
        <v>140</v>
      </c>
      <c r="AC23" s="394">
        <v>0.154</v>
      </c>
      <c r="AD23" s="134">
        <f t="shared" si="4"/>
        <v>1.54E-4</v>
      </c>
      <c r="AE23" s="407">
        <v>0.6</v>
      </c>
      <c r="AF23" s="135">
        <f t="shared" si="5"/>
        <v>9.2399999999999996E-5</v>
      </c>
      <c r="AG23" s="600"/>
      <c r="AH23" s="601"/>
      <c r="AI23" s="601"/>
      <c r="AJ23" s="602"/>
      <c r="AK23" s="418"/>
      <c r="AL23" s="394"/>
      <c r="AM23" s="134">
        <f t="shared" si="6"/>
        <v>0</v>
      </c>
      <c r="AN23" s="423"/>
      <c r="AO23" s="135">
        <f t="shared" si="7"/>
        <v>0</v>
      </c>
      <c r="AP23" s="600"/>
      <c r="AQ23" s="601"/>
      <c r="AR23" s="601"/>
      <c r="AS23" s="602"/>
      <c r="AT23" s="418"/>
      <c r="AU23" s="394"/>
      <c r="AV23" s="134">
        <f t="shared" si="8"/>
        <v>0</v>
      </c>
      <c r="AW23" s="423"/>
      <c r="AX23" s="135">
        <f t="shared" si="9"/>
        <v>0</v>
      </c>
      <c r="AY23" s="600"/>
      <c r="AZ23" s="601"/>
      <c r="BA23" s="601"/>
      <c r="BB23" s="602"/>
      <c r="BC23" s="418"/>
      <c r="BD23" s="394"/>
      <c r="BE23" s="134">
        <f t="shared" si="10"/>
        <v>0</v>
      </c>
      <c r="BF23" s="423"/>
      <c r="BG23" s="135">
        <f t="shared" si="11"/>
        <v>0</v>
      </c>
      <c r="BH23" s="600"/>
      <c r="BI23" s="601"/>
      <c r="BJ23" s="601"/>
      <c r="BK23" s="602"/>
      <c r="BL23" s="418"/>
      <c r="BM23" s="394"/>
      <c r="BN23" s="134">
        <f t="shared" si="12"/>
        <v>0</v>
      </c>
      <c r="BO23" s="423"/>
      <c r="BP23" s="135">
        <f t="shared" si="13"/>
        <v>0</v>
      </c>
      <c r="BQ23" s="600"/>
      <c r="BR23" s="601"/>
      <c r="BS23" s="601"/>
      <c r="BT23" s="602"/>
      <c r="BU23" s="418"/>
      <c r="BV23" s="394"/>
      <c r="BW23" s="134">
        <f t="shared" si="14"/>
        <v>0</v>
      </c>
      <c r="BX23" s="423"/>
      <c r="BY23" s="135">
        <f t="shared" si="15"/>
        <v>0</v>
      </c>
      <c r="BZ23" s="600"/>
      <c r="CA23" s="601"/>
      <c r="CB23" s="601"/>
      <c r="CC23" s="602"/>
      <c r="CD23" s="418"/>
      <c r="CE23" s="394"/>
      <c r="CF23" s="134">
        <f t="shared" si="16"/>
        <v>0</v>
      </c>
      <c r="CG23" s="423"/>
      <c r="CH23" s="135">
        <f t="shared" si="17"/>
        <v>0</v>
      </c>
      <c r="CI23" s="600"/>
      <c r="CJ23" s="601"/>
      <c r="CK23" s="601"/>
      <c r="CL23" s="602"/>
      <c r="CM23" s="418"/>
      <c r="CN23" s="394"/>
      <c r="CO23" s="134">
        <f t="shared" si="18"/>
        <v>0</v>
      </c>
      <c r="CP23" s="423"/>
      <c r="CQ23" s="135">
        <f t="shared" si="19"/>
        <v>0</v>
      </c>
    </row>
    <row r="24" spans="1:95" ht="41.25" customHeight="1">
      <c r="A24" s="587"/>
      <c r="B24" s="620">
        <v>22</v>
      </c>
      <c r="C24" s="623" t="s">
        <v>75</v>
      </c>
      <c r="D24" s="362" t="s">
        <v>128</v>
      </c>
      <c r="E24" s="366" t="s">
        <v>129</v>
      </c>
      <c r="F24" s="600"/>
      <c r="G24" s="601"/>
      <c r="H24" s="601"/>
      <c r="I24" s="602"/>
      <c r="J24" s="397" t="s">
        <v>124</v>
      </c>
      <c r="K24" s="401">
        <v>5.7299999999999997E-2</v>
      </c>
      <c r="L24" s="139">
        <f t="shared" si="0"/>
        <v>5.7299999999999997E-5</v>
      </c>
      <c r="M24" s="409">
        <v>0.1</v>
      </c>
      <c r="N24" s="140">
        <f t="shared" si="1"/>
        <v>5.7300000000000002E-6</v>
      </c>
      <c r="O24" s="600"/>
      <c r="P24" s="601"/>
      <c r="Q24" s="601"/>
      <c r="R24" s="602"/>
      <c r="S24" s="397" t="s">
        <v>124</v>
      </c>
      <c r="T24" s="401">
        <v>5.5800000000000002E-2</v>
      </c>
      <c r="U24" s="139">
        <f t="shared" si="2"/>
        <v>5.5800000000000001E-5</v>
      </c>
      <c r="V24" s="409">
        <v>0.1</v>
      </c>
      <c r="W24" s="140">
        <f t="shared" si="3"/>
        <v>5.5800000000000008E-6</v>
      </c>
      <c r="X24" s="600"/>
      <c r="Y24" s="601"/>
      <c r="Z24" s="601"/>
      <c r="AA24" s="602"/>
      <c r="AB24" s="397" t="s">
        <v>124</v>
      </c>
      <c r="AC24" s="401">
        <v>5.7099999999999998E-2</v>
      </c>
      <c r="AD24" s="139">
        <f t="shared" si="4"/>
        <v>5.7099999999999999E-5</v>
      </c>
      <c r="AE24" s="409">
        <v>0.1</v>
      </c>
      <c r="AF24" s="140">
        <f t="shared" si="5"/>
        <v>5.7100000000000004E-6</v>
      </c>
      <c r="AG24" s="600"/>
      <c r="AH24" s="601"/>
      <c r="AI24" s="601"/>
      <c r="AJ24" s="602"/>
      <c r="AK24" s="420"/>
      <c r="AL24" s="401"/>
      <c r="AM24" s="139">
        <f t="shared" si="6"/>
        <v>0</v>
      </c>
      <c r="AN24" s="425"/>
      <c r="AO24" s="140">
        <f t="shared" si="7"/>
        <v>0</v>
      </c>
      <c r="AP24" s="600"/>
      <c r="AQ24" s="601"/>
      <c r="AR24" s="601"/>
      <c r="AS24" s="602"/>
      <c r="AT24" s="420"/>
      <c r="AU24" s="401"/>
      <c r="AV24" s="139">
        <f t="shared" si="8"/>
        <v>0</v>
      </c>
      <c r="AW24" s="425"/>
      <c r="AX24" s="140">
        <f t="shared" si="9"/>
        <v>0</v>
      </c>
      <c r="AY24" s="600"/>
      <c r="AZ24" s="601"/>
      <c r="BA24" s="601"/>
      <c r="BB24" s="602"/>
      <c r="BC24" s="420"/>
      <c r="BD24" s="401"/>
      <c r="BE24" s="139">
        <f t="shared" si="10"/>
        <v>0</v>
      </c>
      <c r="BF24" s="425"/>
      <c r="BG24" s="140">
        <f t="shared" si="11"/>
        <v>0</v>
      </c>
      <c r="BH24" s="600"/>
      <c r="BI24" s="601"/>
      <c r="BJ24" s="601"/>
      <c r="BK24" s="602"/>
      <c r="BL24" s="420"/>
      <c r="BM24" s="401"/>
      <c r="BN24" s="139">
        <f t="shared" si="12"/>
        <v>0</v>
      </c>
      <c r="BO24" s="425"/>
      <c r="BP24" s="140">
        <f t="shared" si="13"/>
        <v>0</v>
      </c>
      <c r="BQ24" s="600"/>
      <c r="BR24" s="601"/>
      <c r="BS24" s="601"/>
      <c r="BT24" s="602"/>
      <c r="BU24" s="420"/>
      <c r="BV24" s="401"/>
      <c r="BW24" s="139">
        <f t="shared" si="14"/>
        <v>0</v>
      </c>
      <c r="BX24" s="425"/>
      <c r="BY24" s="140">
        <f t="shared" si="15"/>
        <v>0</v>
      </c>
      <c r="BZ24" s="600"/>
      <c r="CA24" s="601"/>
      <c r="CB24" s="601"/>
      <c r="CC24" s="602"/>
      <c r="CD24" s="420"/>
      <c r="CE24" s="401"/>
      <c r="CF24" s="139">
        <f t="shared" si="16"/>
        <v>0</v>
      </c>
      <c r="CG24" s="425"/>
      <c r="CH24" s="140">
        <f t="shared" si="17"/>
        <v>0</v>
      </c>
      <c r="CI24" s="600"/>
      <c r="CJ24" s="601"/>
      <c r="CK24" s="601"/>
      <c r="CL24" s="602"/>
      <c r="CM24" s="420"/>
      <c r="CN24" s="401"/>
      <c r="CO24" s="139">
        <f t="shared" si="18"/>
        <v>0</v>
      </c>
      <c r="CP24" s="425"/>
      <c r="CQ24" s="140">
        <f t="shared" si="19"/>
        <v>0</v>
      </c>
    </row>
    <row r="25" spans="1:95" ht="41.1" customHeight="1">
      <c r="A25" s="587"/>
      <c r="B25" s="621"/>
      <c r="C25" s="624"/>
      <c r="D25" s="130" t="s">
        <v>128</v>
      </c>
      <c r="E25" s="131" t="s">
        <v>129</v>
      </c>
      <c r="F25" s="600"/>
      <c r="G25" s="601"/>
      <c r="H25" s="601"/>
      <c r="I25" s="602"/>
      <c r="J25" s="392" t="s">
        <v>124</v>
      </c>
      <c r="K25" s="383">
        <v>5.7299999999999997E-2</v>
      </c>
      <c r="L25" s="114">
        <f t="shared" si="0"/>
        <v>5.7299999999999997E-5</v>
      </c>
      <c r="M25" s="403">
        <v>0.1</v>
      </c>
      <c r="N25" s="115">
        <f t="shared" si="1"/>
        <v>5.7300000000000002E-6</v>
      </c>
      <c r="O25" s="600"/>
      <c r="P25" s="601"/>
      <c r="Q25" s="601"/>
      <c r="R25" s="602"/>
      <c r="S25" s="392" t="s">
        <v>124</v>
      </c>
      <c r="T25" s="383">
        <v>5.5800000000000002E-2</v>
      </c>
      <c r="U25" s="114">
        <f t="shared" si="2"/>
        <v>5.5800000000000001E-5</v>
      </c>
      <c r="V25" s="403">
        <v>0.1</v>
      </c>
      <c r="W25" s="115">
        <f t="shared" si="3"/>
        <v>5.5800000000000008E-6</v>
      </c>
      <c r="X25" s="600"/>
      <c r="Y25" s="601"/>
      <c r="Z25" s="601"/>
      <c r="AA25" s="602"/>
      <c r="AB25" s="392" t="s">
        <v>124</v>
      </c>
      <c r="AC25" s="383">
        <v>5.7099999999999998E-2</v>
      </c>
      <c r="AD25" s="114">
        <f t="shared" si="4"/>
        <v>5.7099999999999999E-5</v>
      </c>
      <c r="AE25" s="403">
        <v>0.1</v>
      </c>
      <c r="AF25" s="115">
        <f t="shared" si="5"/>
        <v>5.7100000000000004E-6</v>
      </c>
      <c r="AG25" s="600"/>
      <c r="AH25" s="601"/>
      <c r="AI25" s="601"/>
      <c r="AJ25" s="602"/>
      <c r="AK25" s="421"/>
      <c r="AL25" s="383"/>
      <c r="AM25" s="114">
        <f t="shared" si="6"/>
        <v>0</v>
      </c>
      <c r="AN25" s="413"/>
      <c r="AO25" s="115">
        <f t="shared" si="7"/>
        <v>0</v>
      </c>
      <c r="AP25" s="600"/>
      <c r="AQ25" s="601"/>
      <c r="AR25" s="601"/>
      <c r="AS25" s="602"/>
      <c r="AT25" s="421"/>
      <c r="AU25" s="383"/>
      <c r="AV25" s="114">
        <f t="shared" si="8"/>
        <v>0</v>
      </c>
      <c r="AW25" s="413"/>
      <c r="AX25" s="115">
        <f t="shared" si="9"/>
        <v>0</v>
      </c>
      <c r="AY25" s="600"/>
      <c r="AZ25" s="601"/>
      <c r="BA25" s="601"/>
      <c r="BB25" s="602"/>
      <c r="BC25" s="421"/>
      <c r="BD25" s="383"/>
      <c r="BE25" s="114">
        <f t="shared" si="10"/>
        <v>0</v>
      </c>
      <c r="BF25" s="413"/>
      <c r="BG25" s="115">
        <f t="shared" si="11"/>
        <v>0</v>
      </c>
      <c r="BH25" s="600"/>
      <c r="BI25" s="601"/>
      <c r="BJ25" s="601"/>
      <c r="BK25" s="602"/>
      <c r="BL25" s="421"/>
      <c r="BM25" s="383"/>
      <c r="BN25" s="114">
        <f t="shared" si="12"/>
        <v>0</v>
      </c>
      <c r="BO25" s="413"/>
      <c r="BP25" s="115">
        <f t="shared" si="13"/>
        <v>0</v>
      </c>
      <c r="BQ25" s="600"/>
      <c r="BR25" s="601"/>
      <c r="BS25" s="601"/>
      <c r="BT25" s="602"/>
      <c r="BU25" s="421"/>
      <c r="BV25" s="383"/>
      <c r="BW25" s="114">
        <f t="shared" si="14"/>
        <v>0</v>
      </c>
      <c r="BX25" s="413"/>
      <c r="BY25" s="115">
        <f t="shared" si="15"/>
        <v>0</v>
      </c>
      <c r="BZ25" s="600"/>
      <c r="CA25" s="601"/>
      <c r="CB25" s="601"/>
      <c r="CC25" s="602"/>
      <c r="CD25" s="421"/>
      <c r="CE25" s="383"/>
      <c r="CF25" s="114">
        <f t="shared" si="16"/>
        <v>0</v>
      </c>
      <c r="CG25" s="413"/>
      <c r="CH25" s="115">
        <f t="shared" si="17"/>
        <v>0</v>
      </c>
      <c r="CI25" s="600"/>
      <c r="CJ25" s="601"/>
      <c r="CK25" s="601"/>
      <c r="CL25" s="602"/>
      <c r="CM25" s="421"/>
      <c r="CN25" s="383"/>
      <c r="CO25" s="114">
        <f t="shared" si="18"/>
        <v>0</v>
      </c>
      <c r="CP25" s="413"/>
      <c r="CQ25" s="115">
        <f t="shared" si="19"/>
        <v>0</v>
      </c>
    </row>
    <row r="26" spans="1:95" ht="30" customHeight="1">
      <c r="A26" s="587"/>
      <c r="B26" s="621"/>
      <c r="C26" s="624"/>
      <c r="D26" s="130" t="s">
        <v>78</v>
      </c>
      <c r="E26" s="131" t="s">
        <v>136</v>
      </c>
      <c r="F26" s="600"/>
      <c r="G26" s="601"/>
      <c r="H26" s="601"/>
      <c r="I26" s="602"/>
      <c r="J26" s="392" t="s">
        <v>137</v>
      </c>
      <c r="K26" s="383">
        <v>0.20399999999999999</v>
      </c>
      <c r="L26" s="114">
        <f t="shared" si="0"/>
        <v>2.04E-4</v>
      </c>
      <c r="M26" s="403">
        <v>0.6</v>
      </c>
      <c r="N26" s="115">
        <f t="shared" si="1"/>
        <v>1.2239999999999999E-4</v>
      </c>
      <c r="O26" s="600"/>
      <c r="P26" s="601"/>
      <c r="Q26" s="601"/>
      <c r="R26" s="602"/>
      <c r="S26" s="392" t="s">
        <v>137</v>
      </c>
      <c r="T26" s="383">
        <v>0.20399999999999999</v>
      </c>
      <c r="U26" s="114">
        <f t="shared" si="2"/>
        <v>2.04E-4</v>
      </c>
      <c r="V26" s="403">
        <v>0.6</v>
      </c>
      <c r="W26" s="115">
        <f t="shared" si="3"/>
        <v>1.2239999999999999E-4</v>
      </c>
      <c r="X26" s="600"/>
      <c r="Y26" s="601"/>
      <c r="Z26" s="601"/>
      <c r="AA26" s="602"/>
      <c r="AB26" s="392" t="s">
        <v>137</v>
      </c>
      <c r="AC26" s="383">
        <v>0.20399999999999999</v>
      </c>
      <c r="AD26" s="114">
        <f t="shared" si="4"/>
        <v>2.04E-4</v>
      </c>
      <c r="AE26" s="403">
        <v>0.6</v>
      </c>
      <c r="AF26" s="115">
        <f t="shared" si="5"/>
        <v>1.2239999999999999E-4</v>
      </c>
      <c r="AG26" s="600"/>
      <c r="AH26" s="601"/>
      <c r="AI26" s="601"/>
      <c r="AJ26" s="602"/>
      <c r="AK26" s="421"/>
      <c r="AL26" s="383"/>
      <c r="AM26" s="114">
        <f t="shared" si="6"/>
        <v>0</v>
      </c>
      <c r="AN26" s="413"/>
      <c r="AO26" s="115">
        <f t="shared" si="7"/>
        <v>0</v>
      </c>
      <c r="AP26" s="600"/>
      <c r="AQ26" s="601"/>
      <c r="AR26" s="601"/>
      <c r="AS26" s="602"/>
      <c r="AT26" s="421"/>
      <c r="AU26" s="383"/>
      <c r="AV26" s="114">
        <f t="shared" si="8"/>
        <v>0</v>
      </c>
      <c r="AW26" s="413"/>
      <c r="AX26" s="115">
        <f t="shared" si="9"/>
        <v>0</v>
      </c>
      <c r="AY26" s="600"/>
      <c r="AZ26" s="601"/>
      <c r="BA26" s="601"/>
      <c r="BB26" s="602"/>
      <c r="BC26" s="421"/>
      <c r="BD26" s="383"/>
      <c r="BE26" s="114">
        <f t="shared" si="10"/>
        <v>0</v>
      </c>
      <c r="BF26" s="413"/>
      <c r="BG26" s="115">
        <f t="shared" si="11"/>
        <v>0</v>
      </c>
      <c r="BH26" s="600"/>
      <c r="BI26" s="601"/>
      <c r="BJ26" s="601"/>
      <c r="BK26" s="602"/>
      <c r="BL26" s="421"/>
      <c r="BM26" s="383"/>
      <c r="BN26" s="114">
        <f t="shared" si="12"/>
        <v>0</v>
      </c>
      <c r="BO26" s="413"/>
      <c r="BP26" s="115">
        <f t="shared" si="13"/>
        <v>0</v>
      </c>
      <c r="BQ26" s="600"/>
      <c r="BR26" s="601"/>
      <c r="BS26" s="601"/>
      <c r="BT26" s="602"/>
      <c r="BU26" s="421"/>
      <c r="BV26" s="383"/>
      <c r="BW26" s="114">
        <f t="shared" si="14"/>
        <v>0</v>
      </c>
      <c r="BX26" s="413"/>
      <c r="BY26" s="115">
        <f t="shared" si="15"/>
        <v>0</v>
      </c>
      <c r="BZ26" s="600"/>
      <c r="CA26" s="601"/>
      <c r="CB26" s="601"/>
      <c r="CC26" s="602"/>
      <c r="CD26" s="421"/>
      <c r="CE26" s="383"/>
      <c r="CF26" s="114">
        <f t="shared" si="16"/>
        <v>0</v>
      </c>
      <c r="CG26" s="413"/>
      <c r="CH26" s="115">
        <f t="shared" si="17"/>
        <v>0</v>
      </c>
      <c r="CI26" s="600"/>
      <c r="CJ26" s="601"/>
      <c r="CK26" s="601"/>
      <c r="CL26" s="602"/>
      <c r="CM26" s="421"/>
      <c r="CN26" s="383"/>
      <c r="CO26" s="114">
        <f t="shared" si="18"/>
        <v>0</v>
      </c>
      <c r="CP26" s="413"/>
      <c r="CQ26" s="115">
        <f t="shared" si="19"/>
        <v>0</v>
      </c>
    </row>
    <row r="27" spans="1:95" ht="30" customHeight="1">
      <c r="A27" s="587"/>
      <c r="B27" s="621"/>
      <c r="C27" s="624"/>
      <c r="D27" s="130" t="s">
        <v>79</v>
      </c>
      <c r="E27" s="131" t="s">
        <v>136</v>
      </c>
      <c r="F27" s="600"/>
      <c r="G27" s="601"/>
      <c r="H27" s="601"/>
      <c r="I27" s="602"/>
      <c r="J27" s="392" t="s">
        <v>137</v>
      </c>
      <c r="K27" s="383">
        <v>0.25900000000000001</v>
      </c>
      <c r="L27" s="114">
        <f t="shared" si="0"/>
        <v>2.5900000000000001E-4</v>
      </c>
      <c r="M27" s="403">
        <v>0.2</v>
      </c>
      <c r="N27" s="115">
        <f t="shared" si="1"/>
        <v>5.1800000000000005E-5</v>
      </c>
      <c r="O27" s="600"/>
      <c r="P27" s="601"/>
      <c r="Q27" s="601"/>
      <c r="R27" s="602"/>
      <c r="S27" s="392" t="s">
        <v>137</v>
      </c>
      <c r="T27" s="383">
        <v>0.25900000000000001</v>
      </c>
      <c r="U27" s="114">
        <f t="shared" si="2"/>
        <v>2.5900000000000001E-4</v>
      </c>
      <c r="V27" s="403">
        <v>0.2</v>
      </c>
      <c r="W27" s="115">
        <f t="shared" si="3"/>
        <v>5.1800000000000005E-5</v>
      </c>
      <c r="X27" s="600"/>
      <c r="Y27" s="601"/>
      <c r="Z27" s="601"/>
      <c r="AA27" s="602"/>
      <c r="AB27" s="392" t="s">
        <v>137</v>
      </c>
      <c r="AC27" s="383">
        <v>0.25900000000000001</v>
      </c>
      <c r="AD27" s="114">
        <f t="shared" si="4"/>
        <v>2.5900000000000001E-4</v>
      </c>
      <c r="AE27" s="403">
        <v>0.2</v>
      </c>
      <c r="AF27" s="115">
        <f t="shared" si="5"/>
        <v>5.1800000000000005E-5</v>
      </c>
      <c r="AG27" s="600"/>
      <c r="AH27" s="601"/>
      <c r="AI27" s="601"/>
      <c r="AJ27" s="602"/>
      <c r="AK27" s="421"/>
      <c r="AL27" s="383"/>
      <c r="AM27" s="114">
        <f t="shared" si="6"/>
        <v>0</v>
      </c>
      <c r="AN27" s="413"/>
      <c r="AO27" s="115">
        <f t="shared" si="7"/>
        <v>0</v>
      </c>
      <c r="AP27" s="600"/>
      <c r="AQ27" s="601"/>
      <c r="AR27" s="601"/>
      <c r="AS27" s="602"/>
      <c r="AT27" s="421"/>
      <c r="AU27" s="383"/>
      <c r="AV27" s="114">
        <f t="shared" si="8"/>
        <v>0</v>
      </c>
      <c r="AW27" s="413"/>
      <c r="AX27" s="115">
        <f t="shared" si="9"/>
        <v>0</v>
      </c>
      <c r="AY27" s="600"/>
      <c r="AZ27" s="601"/>
      <c r="BA27" s="601"/>
      <c r="BB27" s="602"/>
      <c r="BC27" s="421"/>
      <c r="BD27" s="383"/>
      <c r="BE27" s="114">
        <f t="shared" si="10"/>
        <v>0</v>
      </c>
      <c r="BF27" s="413"/>
      <c r="BG27" s="115">
        <f t="shared" si="11"/>
        <v>0</v>
      </c>
      <c r="BH27" s="600"/>
      <c r="BI27" s="601"/>
      <c r="BJ27" s="601"/>
      <c r="BK27" s="602"/>
      <c r="BL27" s="421"/>
      <c r="BM27" s="383"/>
      <c r="BN27" s="114">
        <f t="shared" si="12"/>
        <v>0</v>
      </c>
      <c r="BO27" s="413"/>
      <c r="BP27" s="115">
        <f t="shared" si="13"/>
        <v>0</v>
      </c>
      <c r="BQ27" s="600"/>
      <c r="BR27" s="601"/>
      <c r="BS27" s="601"/>
      <c r="BT27" s="602"/>
      <c r="BU27" s="421"/>
      <c r="BV27" s="383"/>
      <c r="BW27" s="114">
        <f t="shared" si="14"/>
        <v>0</v>
      </c>
      <c r="BX27" s="413"/>
      <c r="BY27" s="115">
        <f t="shared" si="15"/>
        <v>0</v>
      </c>
      <c r="BZ27" s="600"/>
      <c r="CA27" s="601"/>
      <c r="CB27" s="601"/>
      <c r="CC27" s="602"/>
      <c r="CD27" s="421"/>
      <c r="CE27" s="383"/>
      <c r="CF27" s="114">
        <f t="shared" si="16"/>
        <v>0</v>
      </c>
      <c r="CG27" s="413"/>
      <c r="CH27" s="115">
        <f t="shared" si="17"/>
        <v>0</v>
      </c>
      <c r="CI27" s="600"/>
      <c r="CJ27" s="601"/>
      <c r="CK27" s="601"/>
      <c r="CL27" s="602"/>
      <c r="CM27" s="421"/>
      <c r="CN27" s="383"/>
      <c r="CO27" s="114">
        <f t="shared" si="18"/>
        <v>0</v>
      </c>
      <c r="CP27" s="413"/>
      <c r="CQ27" s="115">
        <f t="shared" si="19"/>
        <v>0</v>
      </c>
    </row>
    <row r="28" spans="1:95" ht="30" customHeight="1">
      <c r="A28" s="587"/>
      <c r="B28" s="621"/>
      <c r="C28" s="624"/>
      <c r="D28" s="130" t="s">
        <v>80</v>
      </c>
      <c r="E28" s="131" t="s">
        <v>136</v>
      </c>
      <c r="F28" s="600"/>
      <c r="G28" s="601"/>
      <c r="H28" s="601"/>
      <c r="I28" s="602"/>
      <c r="J28" s="392" t="s">
        <v>137</v>
      </c>
      <c r="K28" s="383">
        <v>0.251</v>
      </c>
      <c r="L28" s="114">
        <f t="shared" si="0"/>
        <v>2.5099999999999998E-4</v>
      </c>
      <c r="M28" s="403">
        <v>0.2</v>
      </c>
      <c r="N28" s="115">
        <f t="shared" si="1"/>
        <v>5.02E-5</v>
      </c>
      <c r="O28" s="600"/>
      <c r="P28" s="601"/>
      <c r="Q28" s="601"/>
      <c r="R28" s="602"/>
      <c r="S28" s="392" t="s">
        <v>137</v>
      </c>
      <c r="T28" s="383">
        <v>0.251</v>
      </c>
      <c r="U28" s="114">
        <f t="shared" si="2"/>
        <v>2.5099999999999998E-4</v>
      </c>
      <c r="V28" s="403">
        <v>0.2</v>
      </c>
      <c r="W28" s="115">
        <f t="shared" si="3"/>
        <v>5.02E-5</v>
      </c>
      <c r="X28" s="600"/>
      <c r="Y28" s="601"/>
      <c r="Z28" s="601"/>
      <c r="AA28" s="602"/>
      <c r="AB28" s="392" t="s">
        <v>137</v>
      </c>
      <c r="AC28" s="383">
        <v>0.251</v>
      </c>
      <c r="AD28" s="114">
        <f t="shared" si="4"/>
        <v>2.5099999999999998E-4</v>
      </c>
      <c r="AE28" s="403">
        <v>0.2</v>
      </c>
      <c r="AF28" s="115">
        <f t="shared" si="5"/>
        <v>5.02E-5</v>
      </c>
      <c r="AG28" s="600"/>
      <c r="AH28" s="601"/>
      <c r="AI28" s="601"/>
      <c r="AJ28" s="602"/>
      <c r="AK28" s="421"/>
      <c r="AL28" s="383"/>
      <c r="AM28" s="114">
        <f t="shared" si="6"/>
        <v>0</v>
      </c>
      <c r="AN28" s="413"/>
      <c r="AO28" s="115">
        <f t="shared" si="7"/>
        <v>0</v>
      </c>
      <c r="AP28" s="600"/>
      <c r="AQ28" s="601"/>
      <c r="AR28" s="601"/>
      <c r="AS28" s="602"/>
      <c r="AT28" s="421"/>
      <c r="AU28" s="383"/>
      <c r="AV28" s="114">
        <f t="shared" si="8"/>
        <v>0</v>
      </c>
      <c r="AW28" s="413"/>
      <c r="AX28" s="115">
        <f t="shared" si="9"/>
        <v>0</v>
      </c>
      <c r="AY28" s="600"/>
      <c r="AZ28" s="601"/>
      <c r="BA28" s="601"/>
      <c r="BB28" s="602"/>
      <c r="BC28" s="421"/>
      <c r="BD28" s="383"/>
      <c r="BE28" s="114">
        <f t="shared" si="10"/>
        <v>0</v>
      </c>
      <c r="BF28" s="413"/>
      <c r="BG28" s="115">
        <f t="shared" si="11"/>
        <v>0</v>
      </c>
      <c r="BH28" s="600"/>
      <c r="BI28" s="601"/>
      <c r="BJ28" s="601"/>
      <c r="BK28" s="602"/>
      <c r="BL28" s="421"/>
      <c r="BM28" s="383"/>
      <c r="BN28" s="114">
        <f t="shared" si="12"/>
        <v>0</v>
      </c>
      <c r="BO28" s="413"/>
      <c r="BP28" s="115">
        <f t="shared" si="13"/>
        <v>0</v>
      </c>
      <c r="BQ28" s="600"/>
      <c r="BR28" s="601"/>
      <c r="BS28" s="601"/>
      <c r="BT28" s="602"/>
      <c r="BU28" s="421"/>
      <c r="BV28" s="383"/>
      <c r="BW28" s="114">
        <f t="shared" si="14"/>
        <v>0</v>
      </c>
      <c r="BX28" s="413"/>
      <c r="BY28" s="115">
        <f t="shared" si="15"/>
        <v>0</v>
      </c>
      <c r="BZ28" s="600"/>
      <c r="CA28" s="601"/>
      <c r="CB28" s="601"/>
      <c r="CC28" s="602"/>
      <c r="CD28" s="421"/>
      <c r="CE28" s="383"/>
      <c r="CF28" s="114">
        <f t="shared" si="16"/>
        <v>0</v>
      </c>
      <c r="CG28" s="413"/>
      <c r="CH28" s="115">
        <f t="shared" si="17"/>
        <v>0</v>
      </c>
      <c r="CI28" s="600"/>
      <c r="CJ28" s="601"/>
      <c r="CK28" s="601"/>
      <c r="CL28" s="602"/>
      <c r="CM28" s="421"/>
      <c r="CN28" s="383"/>
      <c r="CO28" s="114">
        <f t="shared" si="18"/>
        <v>0</v>
      </c>
      <c r="CP28" s="413"/>
      <c r="CQ28" s="115">
        <f t="shared" si="19"/>
        <v>0</v>
      </c>
    </row>
    <row r="29" spans="1:95" ht="30" customHeight="1">
      <c r="A29" s="587"/>
      <c r="B29" s="621"/>
      <c r="C29" s="624"/>
      <c r="D29" s="130" t="s">
        <v>81</v>
      </c>
      <c r="E29" s="131" t="s">
        <v>145</v>
      </c>
      <c r="F29" s="600"/>
      <c r="G29" s="601"/>
      <c r="H29" s="601"/>
      <c r="I29" s="602"/>
      <c r="J29" s="392" t="s">
        <v>119</v>
      </c>
      <c r="K29" s="383">
        <v>1.86</v>
      </c>
      <c r="L29" s="114">
        <f t="shared" si="0"/>
        <v>1.8600000000000001E-3</v>
      </c>
      <c r="M29" s="410">
        <v>0.05</v>
      </c>
      <c r="N29" s="115">
        <f t="shared" si="1"/>
        <v>9.3000000000000011E-5</v>
      </c>
      <c r="O29" s="600"/>
      <c r="P29" s="601"/>
      <c r="Q29" s="601"/>
      <c r="R29" s="602"/>
      <c r="S29" s="392" t="s">
        <v>119</v>
      </c>
      <c r="T29" s="383">
        <v>1.86</v>
      </c>
      <c r="U29" s="114">
        <f t="shared" si="2"/>
        <v>1.8600000000000001E-3</v>
      </c>
      <c r="V29" s="410">
        <v>0.05</v>
      </c>
      <c r="W29" s="115">
        <f t="shared" si="3"/>
        <v>9.3000000000000011E-5</v>
      </c>
      <c r="X29" s="600"/>
      <c r="Y29" s="601"/>
      <c r="Z29" s="601"/>
      <c r="AA29" s="602"/>
      <c r="AB29" s="392" t="s">
        <v>119</v>
      </c>
      <c r="AC29" s="383">
        <v>1.86</v>
      </c>
      <c r="AD29" s="114">
        <f t="shared" si="4"/>
        <v>1.8600000000000001E-3</v>
      </c>
      <c r="AE29" s="410">
        <v>0.05</v>
      </c>
      <c r="AF29" s="115">
        <f t="shared" si="5"/>
        <v>9.3000000000000011E-5</v>
      </c>
      <c r="AG29" s="600"/>
      <c r="AH29" s="601"/>
      <c r="AI29" s="601"/>
      <c r="AJ29" s="602"/>
      <c r="AK29" s="421"/>
      <c r="AL29" s="383"/>
      <c r="AM29" s="114">
        <f t="shared" si="6"/>
        <v>0</v>
      </c>
      <c r="AN29" s="413"/>
      <c r="AO29" s="115">
        <f t="shared" si="7"/>
        <v>0</v>
      </c>
      <c r="AP29" s="600"/>
      <c r="AQ29" s="601"/>
      <c r="AR29" s="601"/>
      <c r="AS29" s="602"/>
      <c r="AT29" s="421"/>
      <c r="AU29" s="383"/>
      <c r="AV29" s="114">
        <f t="shared" si="8"/>
        <v>0</v>
      </c>
      <c r="AW29" s="413"/>
      <c r="AX29" s="115">
        <f t="shared" si="9"/>
        <v>0</v>
      </c>
      <c r="AY29" s="600"/>
      <c r="AZ29" s="601"/>
      <c r="BA29" s="601"/>
      <c r="BB29" s="602"/>
      <c r="BC29" s="421"/>
      <c r="BD29" s="383"/>
      <c r="BE29" s="114">
        <f t="shared" si="10"/>
        <v>0</v>
      </c>
      <c r="BF29" s="413"/>
      <c r="BG29" s="115">
        <f t="shared" si="11"/>
        <v>0</v>
      </c>
      <c r="BH29" s="600"/>
      <c r="BI29" s="601"/>
      <c r="BJ29" s="601"/>
      <c r="BK29" s="602"/>
      <c r="BL29" s="421"/>
      <c r="BM29" s="383"/>
      <c r="BN29" s="114">
        <f t="shared" si="12"/>
        <v>0</v>
      </c>
      <c r="BO29" s="413"/>
      <c r="BP29" s="115">
        <f t="shared" si="13"/>
        <v>0</v>
      </c>
      <c r="BQ29" s="600"/>
      <c r="BR29" s="601"/>
      <c r="BS29" s="601"/>
      <c r="BT29" s="602"/>
      <c r="BU29" s="421"/>
      <c r="BV29" s="383"/>
      <c r="BW29" s="114">
        <f t="shared" si="14"/>
        <v>0</v>
      </c>
      <c r="BX29" s="413"/>
      <c r="BY29" s="115">
        <f t="shared" si="15"/>
        <v>0</v>
      </c>
      <c r="BZ29" s="600"/>
      <c r="CA29" s="601"/>
      <c r="CB29" s="601"/>
      <c r="CC29" s="602"/>
      <c r="CD29" s="421"/>
      <c r="CE29" s="383"/>
      <c r="CF29" s="114">
        <f t="shared" si="16"/>
        <v>0</v>
      </c>
      <c r="CG29" s="413"/>
      <c r="CH29" s="115">
        <f t="shared" si="17"/>
        <v>0</v>
      </c>
      <c r="CI29" s="600"/>
      <c r="CJ29" s="601"/>
      <c r="CK29" s="601"/>
      <c r="CL29" s="602"/>
      <c r="CM29" s="421"/>
      <c r="CN29" s="383"/>
      <c r="CO29" s="114">
        <f t="shared" si="18"/>
        <v>0</v>
      </c>
      <c r="CP29" s="413"/>
      <c r="CQ29" s="115">
        <f t="shared" si="19"/>
        <v>0</v>
      </c>
    </row>
    <row r="30" spans="1:95" ht="41.1" customHeight="1">
      <c r="A30" s="587"/>
      <c r="B30" s="621"/>
      <c r="C30" s="624"/>
      <c r="D30" s="130" t="s">
        <v>146</v>
      </c>
      <c r="E30" s="131" t="s">
        <v>136</v>
      </c>
      <c r="F30" s="600"/>
      <c r="G30" s="601"/>
      <c r="H30" s="601"/>
      <c r="I30" s="602"/>
      <c r="J30" s="392" t="s">
        <v>137</v>
      </c>
      <c r="K30" s="383">
        <v>0.10299999999999999</v>
      </c>
      <c r="L30" s="114">
        <f t="shared" si="0"/>
        <v>1.03E-4</v>
      </c>
      <c r="M30" s="403">
        <v>0.7</v>
      </c>
      <c r="N30" s="115">
        <f t="shared" si="1"/>
        <v>7.2099999999999991E-5</v>
      </c>
      <c r="O30" s="600"/>
      <c r="P30" s="601"/>
      <c r="Q30" s="601"/>
      <c r="R30" s="602"/>
      <c r="S30" s="392" t="s">
        <v>137</v>
      </c>
      <c r="T30" s="383">
        <v>0.10299999999999999</v>
      </c>
      <c r="U30" s="114">
        <f t="shared" si="2"/>
        <v>1.03E-4</v>
      </c>
      <c r="V30" s="403">
        <v>0.7</v>
      </c>
      <c r="W30" s="115">
        <f t="shared" si="3"/>
        <v>7.2099999999999991E-5</v>
      </c>
      <c r="X30" s="600"/>
      <c r="Y30" s="601"/>
      <c r="Z30" s="601"/>
      <c r="AA30" s="602"/>
      <c r="AB30" s="392" t="s">
        <v>137</v>
      </c>
      <c r="AC30" s="383">
        <v>0.10299999999999999</v>
      </c>
      <c r="AD30" s="114">
        <f t="shared" si="4"/>
        <v>1.03E-4</v>
      </c>
      <c r="AE30" s="403">
        <v>0.7</v>
      </c>
      <c r="AF30" s="115">
        <f t="shared" si="5"/>
        <v>7.2099999999999991E-5</v>
      </c>
      <c r="AG30" s="600"/>
      <c r="AH30" s="601"/>
      <c r="AI30" s="601"/>
      <c r="AJ30" s="602"/>
      <c r="AK30" s="421"/>
      <c r="AL30" s="383"/>
      <c r="AM30" s="114">
        <f t="shared" si="6"/>
        <v>0</v>
      </c>
      <c r="AN30" s="413"/>
      <c r="AO30" s="115">
        <f t="shared" si="7"/>
        <v>0</v>
      </c>
      <c r="AP30" s="600"/>
      <c r="AQ30" s="601"/>
      <c r="AR30" s="601"/>
      <c r="AS30" s="602"/>
      <c r="AT30" s="421"/>
      <c r="AU30" s="383"/>
      <c r="AV30" s="114">
        <f t="shared" si="8"/>
        <v>0</v>
      </c>
      <c r="AW30" s="413"/>
      <c r="AX30" s="115">
        <f t="shared" si="9"/>
        <v>0</v>
      </c>
      <c r="AY30" s="600"/>
      <c r="AZ30" s="601"/>
      <c r="BA30" s="601"/>
      <c r="BB30" s="602"/>
      <c r="BC30" s="421"/>
      <c r="BD30" s="383"/>
      <c r="BE30" s="114">
        <f t="shared" si="10"/>
        <v>0</v>
      </c>
      <c r="BF30" s="413"/>
      <c r="BG30" s="115">
        <f t="shared" si="11"/>
        <v>0</v>
      </c>
      <c r="BH30" s="600"/>
      <c r="BI30" s="601"/>
      <c r="BJ30" s="601"/>
      <c r="BK30" s="602"/>
      <c r="BL30" s="421"/>
      <c r="BM30" s="383"/>
      <c r="BN30" s="114">
        <f t="shared" si="12"/>
        <v>0</v>
      </c>
      <c r="BO30" s="413"/>
      <c r="BP30" s="115">
        <f t="shared" si="13"/>
        <v>0</v>
      </c>
      <c r="BQ30" s="600"/>
      <c r="BR30" s="601"/>
      <c r="BS30" s="601"/>
      <c r="BT30" s="602"/>
      <c r="BU30" s="421"/>
      <c r="BV30" s="383"/>
      <c r="BW30" s="114">
        <f t="shared" si="14"/>
        <v>0</v>
      </c>
      <c r="BX30" s="413"/>
      <c r="BY30" s="115">
        <f t="shared" si="15"/>
        <v>0</v>
      </c>
      <c r="BZ30" s="600"/>
      <c r="CA30" s="601"/>
      <c r="CB30" s="601"/>
      <c r="CC30" s="602"/>
      <c r="CD30" s="421"/>
      <c r="CE30" s="383"/>
      <c r="CF30" s="114">
        <f t="shared" si="16"/>
        <v>0</v>
      </c>
      <c r="CG30" s="413"/>
      <c r="CH30" s="115">
        <f t="shared" si="17"/>
        <v>0</v>
      </c>
      <c r="CI30" s="600"/>
      <c r="CJ30" s="601"/>
      <c r="CK30" s="601"/>
      <c r="CL30" s="602"/>
      <c r="CM30" s="421"/>
      <c r="CN30" s="383"/>
      <c r="CO30" s="114">
        <f t="shared" si="18"/>
        <v>0</v>
      </c>
      <c r="CP30" s="413"/>
      <c r="CQ30" s="115">
        <f t="shared" si="19"/>
        <v>0</v>
      </c>
    </row>
    <row r="31" spans="1:95" ht="30" customHeight="1">
      <c r="A31" s="587"/>
      <c r="B31" s="621"/>
      <c r="C31" s="624"/>
      <c r="D31" s="130" t="s">
        <v>147</v>
      </c>
      <c r="E31" s="131" t="s">
        <v>136</v>
      </c>
      <c r="F31" s="600"/>
      <c r="G31" s="601"/>
      <c r="H31" s="601"/>
      <c r="I31" s="602"/>
      <c r="J31" s="392" t="s">
        <v>137</v>
      </c>
      <c r="K31" s="383">
        <v>0.183</v>
      </c>
      <c r="L31" s="114">
        <f t="shared" si="0"/>
        <v>1.83E-4</v>
      </c>
      <c r="M31" s="403">
        <v>0.7</v>
      </c>
      <c r="N31" s="115">
        <f t="shared" si="1"/>
        <v>1.281E-4</v>
      </c>
      <c r="O31" s="600"/>
      <c r="P31" s="601"/>
      <c r="Q31" s="601"/>
      <c r="R31" s="602"/>
      <c r="S31" s="392" t="s">
        <v>137</v>
      </c>
      <c r="T31" s="383">
        <v>0.183</v>
      </c>
      <c r="U31" s="114">
        <f t="shared" si="2"/>
        <v>1.83E-4</v>
      </c>
      <c r="V31" s="403">
        <v>0.7</v>
      </c>
      <c r="W31" s="115">
        <f t="shared" si="3"/>
        <v>1.281E-4</v>
      </c>
      <c r="X31" s="600"/>
      <c r="Y31" s="601"/>
      <c r="Z31" s="601"/>
      <c r="AA31" s="602"/>
      <c r="AB31" s="392" t="s">
        <v>137</v>
      </c>
      <c r="AC31" s="383">
        <v>0.183</v>
      </c>
      <c r="AD31" s="114">
        <f t="shared" si="4"/>
        <v>1.83E-4</v>
      </c>
      <c r="AE31" s="403">
        <v>0.7</v>
      </c>
      <c r="AF31" s="115">
        <f t="shared" si="5"/>
        <v>1.281E-4</v>
      </c>
      <c r="AG31" s="600"/>
      <c r="AH31" s="601"/>
      <c r="AI31" s="601"/>
      <c r="AJ31" s="602"/>
      <c r="AK31" s="421"/>
      <c r="AL31" s="383"/>
      <c r="AM31" s="114">
        <f t="shared" si="6"/>
        <v>0</v>
      </c>
      <c r="AN31" s="413"/>
      <c r="AO31" s="115">
        <f t="shared" si="7"/>
        <v>0</v>
      </c>
      <c r="AP31" s="600"/>
      <c r="AQ31" s="601"/>
      <c r="AR31" s="601"/>
      <c r="AS31" s="602"/>
      <c r="AT31" s="421"/>
      <c r="AU31" s="383"/>
      <c r="AV31" s="114">
        <f t="shared" si="8"/>
        <v>0</v>
      </c>
      <c r="AW31" s="413"/>
      <c r="AX31" s="115">
        <f t="shared" si="9"/>
        <v>0</v>
      </c>
      <c r="AY31" s="600"/>
      <c r="AZ31" s="601"/>
      <c r="BA31" s="601"/>
      <c r="BB31" s="602"/>
      <c r="BC31" s="421"/>
      <c r="BD31" s="383"/>
      <c r="BE31" s="114">
        <f t="shared" si="10"/>
        <v>0</v>
      </c>
      <c r="BF31" s="413"/>
      <c r="BG31" s="115">
        <f t="shared" si="11"/>
        <v>0</v>
      </c>
      <c r="BH31" s="600"/>
      <c r="BI31" s="601"/>
      <c r="BJ31" s="601"/>
      <c r="BK31" s="602"/>
      <c r="BL31" s="421"/>
      <c r="BM31" s="383"/>
      <c r="BN31" s="114">
        <f t="shared" si="12"/>
        <v>0</v>
      </c>
      <c r="BO31" s="413"/>
      <c r="BP31" s="115">
        <f t="shared" si="13"/>
        <v>0</v>
      </c>
      <c r="BQ31" s="600"/>
      <c r="BR31" s="601"/>
      <c r="BS31" s="601"/>
      <c r="BT31" s="602"/>
      <c r="BU31" s="421"/>
      <c r="BV31" s="383"/>
      <c r="BW31" s="114">
        <f t="shared" si="14"/>
        <v>0</v>
      </c>
      <c r="BX31" s="413"/>
      <c r="BY31" s="115">
        <f t="shared" si="15"/>
        <v>0</v>
      </c>
      <c r="BZ31" s="600"/>
      <c r="CA31" s="601"/>
      <c r="CB31" s="601"/>
      <c r="CC31" s="602"/>
      <c r="CD31" s="421"/>
      <c r="CE31" s="383"/>
      <c r="CF31" s="114">
        <f t="shared" si="16"/>
        <v>0</v>
      </c>
      <c r="CG31" s="413"/>
      <c r="CH31" s="115">
        <f t="shared" si="17"/>
        <v>0</v>
      </c>
      <c r="CI31" s="600"/>
      <c r="CJ31" s="601"/>
      <c r="CK31" s="601"/>
      <c r="CL31" s="602"/>
      <c r="CM31" s="421"/>
      <c r="CN31" s="383"/>
      <c r="CO31" s="114">
        <f t="shared" si="18"/>
        <v>0</v>
      </c>
      <c r="CP31" s="413"/>
      <c r="CQ31" s="115">
        <f t="shared" si="19"/>
        <v>0</v>
      </c>
    </row>
    <row r="32" spans="1:95" ht="51.9" customHeight="1">
      <c r="A32" s="587"/>
      <c r="B32" s="621"/>
      <c r="C32" s="624"/>
      <c r="D32" s="130" t="s">
        <v>144</v>
      </c>
      <c r="E32" s="131" t="s">
        <v>145</v>
      </c>
      <c r="F32" s="600"/>
      <c r="G32" s="601"/>
      <c r="H32" s="601"/>
      <c r="I32" s="602"/>
      <c r="J32" s="392" t="s">
        <v>140</v>
      </c>
      <c r="K32" s="383">
        <v>0.154</v>
      </c>
      <c r="L32" s="114">
        <f t="shared" si="0"/>
        <v>1.54E-4</v>
      </c>
      <c r="M32" s="403">
        <v>0.6</v>
      </c>
      <c r="N32" s="115">
        <f t="shared" si="1"/>
        <v>9.2399999999999996E-5</v>
      </c>
      <c r="O32" s="600"/>
      <c r="P32" s="601"/>
      <c r="Q32" s="601"/>
      <c r="R32" s="602"/>
      <c r="S32" s="392" t="s">
        <v>140</v>
      </c>
      <c r="T32" s="383">
        <v>0.154</v>
      </c>
      <c r="U32" s="114">
        <f t="shared" si="2"/>
        <v>1.54E-4</v>
      </c>
      <c r="V32" s="403">
        <v>0.6</v>
      </c>
      <c r="W32" s="115">
        <f t="shared" si="3"/>
        <v>9.2399999999999996E-5</v>
      </c>
      <c r="X32" s="600"/>
      <c r="Y32" s="601"/>
      <c r="Z32" s="601"/>
      <c r="AA32" s="602"/>
      <c r="AB32" s="392" t="s">
        <v>140</v>
      </c>
      <c r="AC32" s="383">
        <v>0.154</v>
      </c>
      <c r="AD32" s="114">
        <f t="shared" si="4"/>
        <v>1.54E-4</v>
      </c>
      <c r="AE32" s="403">
        <v>0.6</v>
      </c>
      <c r="AF32" s="115">
        <f t="shared" si="5"/>
        <v>9.2399999999999996E-5</v>
      </c>
      <c r="AG32" s="600"/>
      <c r="AH32" s="601"/>
      <c r="AI32" s="601"/>
      <c r="AJ32" s="602"/>
      <c r="AK32" s="421"/>
      <c r="AL32" s="383"/>
      <c r="AM32" s="114">
        <f t="shared" si="6"/>
        <v>0</v>
      </c>
      <c r="AN32" s="413"/>
      <c r="AO32" s="115">
        <f t="shared" si="7"/>
        <v>0</v>
      </c>
      <c r="AP32" s="600"/>
      <c r="AQ32" s="601"/>
      <c r="AR32" s="601"/>
      <c r="AS32" s="602"/>
      <c r="AT32" s="421"/>
      <c r="AU32" s="383"/>
      <c r="AV32" s="114">
        <f t="shared" si="8"/>
        <v>0</v>
      </c>
      <c r="AW32" s="413"/>
      <c r="AX32" s="115">
        <f t="shared" si="9"/>
        <v>0</v>
      </c>
      <c r="AY32" s="600"/>
      <c r="AZ32" s="601"/>
      <c r="BA32" s="601"/>
      <c r="BB32" s="602"/>
      <c r="BC32" s="421"/>
      <c r="BD32" s="383"/>
      <c r="BE32" s="114">
        <f t="shared" si="10"/>
        <v>0</v>
      </c>
      <c r="BF32" s="413"/>
      <c r="BG32" s="115">
        <f t="shared" si="11"/>
        <v>0</v>
      </c>
      <c r="BH32" s="600"/>
      <c r="BI32" s="601"/>
      <c r="BJ32" s="601"/>
      <c r="BK32" s="602"/>
      <c r="BL32" s="421"/>
      <c r="BM32" s="383"/>
      <c r="BN32" s="114">
        <f t="shared" si="12"/>
        <v>0</v>
      </c>
      <c r="BO32" s="413"/>
      <c r="BP32" s="115">
        <f t="shared" si="13"/>
        <v>0</v>
      </c>
      <c r="BQ32" s="600"/>
      <c r="BR32" s="601"/>
      <c r="BS32" s="601"/>
      <c r="BT32" s="602"/>
      <c r="BU32" s="421"/>
      <c r="BV32" s="383"/>
      <c r="BW32" s="114">
        <f t="shared" si="14"/>
        <v>0</v>
      </c>
      <c r="BX32" s="413"/>
      <c r="BY32" s="115">
        <f t="shared" si="15"/>
        <v>0</v>
      </c>
      <c r="BZ32" s="600"/>
      <c r="CA32" s="601"/>
      <c r="CB32" s="601"/>
      <c r="CC32" s="602"/>
      <c r="CD32" s="421"/>
      <c r="CE32" s="383"/>
      <c r="CF32" s="114">
        <f t="shared" si="16"/>
        <v>0</v>
      </c>
      <c r="CG32" s="413"/>
      <c r="CH32" s="115">
        <f t="shared" si="17"/>
        <v>0</v>
      </c>
      <c r="CI32" s="600"/>
      <c r="CJ32" s="601"/>
      <c r="CK32" s="601"/>
      <c r="CL32" s="602"/>
      <c r="CM32" s="421"/>
      <c r="CN32" s="383"/>
      <c r="CO32" s="114">
        <f t="shared" si="18"/>
        <v>0</v>
      </c>
      <c r="CP32" s="413"/>
      <c r="CQ32" s="115">
        <f t="shared" si="19"/>
        <v>0</v>
      </c>
    </row>
    <row r="33" spans="1:95" ht="30" customHeight="1">
      <c r="A33" s="587"/>
      <c r="B33" s="621"/>
      <c r="C33" s="624"/>
      <c r="D33" s="130" t="s">
        <v>84</v>
      </c>
      <c r="E33" s="131" t="s">
        <v>143</v>
      </c>
      <c r="F33" s="600"/>
      <c r="G33" s="601"/>
      <c r="H33" s="601"/>
      <c r="I33" s="602"/>
      <c r="J33" s="392" t="s">
        <v>140</v>
      </c>
      <c r="K33" s="383">
        <v>6.6299999999999996E-3</v>
      </c>
      <c r="L33" s="114">
        <f t="shared" si="0"/>
        <v>6.6299999999999992E-6</v>
      </c>
      <c r="M33" s="403">
        <v>0.6</v>
      </c>
      <c r="N33" s="115">
        <f t="shared" si="1"/>
        <v>3.977999999999999E-6</v>
      </c>
      <c r="O33" s="600"/>
      <c r="P33" s="601"/>
      <c r="Q33" s="601"/>
      <c r="R33" s="602"/>
      <c r="S33" s="392" t="s">
        <v>140</v>
      </c>
      <c r="T33" s="383">
        <v>6.6299999999999996E-3</v>
      </c>
      <c r="U33" s="114">
        <f t="shared" si="2"/>
        <v>6.6299999999999992E-6</v>
      </c>
      <c r="V33" s="403">
        <v>0.6</v>
      </c>
      <c r="W33" s="115">
        <f t="shared" si="3"/>
        <v>3.977999999999999E-6</v>
      </c>
      <c r="X33" s="600"/>
      <c r="Y33" s="601"/>
      <c r="Z33" s="601"/>
      <c r="AA33" s="602"/>
      <c r="AB33" s="392" t="s">
        <v>140</v>
      </c>
      <c r="AC33" s="383">
        <v>6.6299999999999996E-3</v>
      </c>
      <c r="AD33" s="114">
        <f t="shared" si="4"/>
        <v>6.6299999999999992E-6</v>
      </c>
      <c r="AE33" s="403">
        <v>0.6</v>
      </c>
      <c r="AF33" s="115">
        <f t="shared" si="5"/>
        <v>3.977999999999999E-6</v>
      </c>
      <c r="AG33" s="600"/>
      <c r="AH33" s="601"/>
      <c r="AI33" s="601"/>
      <c r="AJ33" s="602"/>
      <c r="AK33" s="421"/>
      <c r="AL33" s="383"/>
      <c r="AM33" s="114">
        <f t="shared" si="6"/>
        <v>0</v>
      </c>
      <c r="AN33" s="413"/>
      <c r="AO33" s="115">
        <f t="shared" si="7"/>
        <v>0</v>
      </c>
      <c r="AP33" s="600"/>
      <c r="AQ33" s="601"/>
      <c r="AR33" s="601"/>
      <c r="AS33" s="602"/>
      <c r="AT33" s="421"/>
      <c r="AU33" s="383"/>
      <c r="AV33" s="114">
        <f t="shared" si="8"/>
        <v>0</v>
      </c>
      <c r="AW33" s="413"/>
      <c r="AX33" s="115">
        <f t="shared" si="9"/>
        <v>0</v>
      </c>
      <c r="AY33" s="600"/>
      <c r="AZ33" s="601"/>
      <c r="BA33" s="601"/>
      <c r="BB33" s="602"/>
      <c r="BC33" s="421"/>
      <c r="BD33" s="383"/>
      <c r="BE33" s="114">
        <f t="shared" si="10"/>
        <v>0</v>
      </c>
      <c r="BF33" s="413"/>
      <c r="BG33" s="115">
        <f t="shared" si="11"/>
        <v>0</v>
      </c>
      <c r="BH33" s="600"/>
      <c r="BI33" s="601"/>
      <c r="BJ33" s="601"/>
      <c r="BK33" s="602"/>
      <c r="BL33" s="421"/>
      <c r="BM33" s="383"/>
      <c r="BN33" s="114">
        <f t="shared" si="12"/>
        <v>0</v>
      </c>
      <c r="BO33" s="413"/>
      <c r="BP33" s="115">
        <f t="shared" si="13"/>
        <v>0</v>
      </c>
      <c r="BQ33" s="600"/>
      <c r="BR33" s="601"/>
      <c r="BS33" s="601"/>
      <c r="BT33" s="602"/>
      <c r="BU33" s="421"/>
      <c r="BV33" s="383"/>
      <c r="BW33" s="114">
        <f t="shared" si="14"/>
        <v>0</v>
      </c>
      <c r="BX33" s="413"/>
      <c r="BY33" s="115">
        <f t="shared" si="15"/>
        <v>0</v>
      </c>
      <c r="BZ33" s="600"/>
      <c r="CA33" s="601"/>
      <c r="CB33" s="601"/>
      <c r="CC33" s="602"/>
      <c r="CD33" s="421"/>
      <c r="CE33" s="383"/>
      <c r="CF33" s="114">
        <f t="shared" si="16"/>
        <v>0</v>
      </c>
      <c r="CG33" s="413"/>
      <c r="CH33" s="115">
        <f t="shared" si="17"/>
        <v>0</v>
      </c>
      <c r="CI33" s="600"/>
      <c r="CJ33" s="601"/>
      <c r="CK33" s="601"/>
      <c r="CL33" s="602"/>
      <c r="CM33" s="421"/>
      <c r="CN33" s="383"/>
      <c r="CO33" s="114">
        <f t="shared" si="18"/>
        <v>0</v>
      </c>
      <c r="CP33" s="413"/>
      <c r="CQ33" s="115">
        <f t="shared" si="19"/>
        <v>0</v>
      </c>
    </row>
    <row r="34" spans="1:95" ht="30.75" customHeight="1">
      <c r="A34" s="588"/>
      <c r="B34" s="622"/>
      <c r="C34" s="625"/>
      <c r="D34" s="141" t="s">
        <v>148</v>
      </c>
      <c r="E34" s="142" t="s">
        <v>143</v>
      </c>
      <c r="F34" s="603"/>
      <c r="G34" s="604"/>
      <c r="H34" s="604"/>
      <c r="I34" s="605"/>
      <c r="J34" s="390" t="s">
        <v>140</v>
      </c>
      <c r="K34" s="391">
        <v>8.9099999999999995E-3</v>
      </c>
      <c r="L34" s="119">
        <f t="shared" si="0"/>
        <v>8.9099999999999994E-6</v>
      </c>
      <c r="M34" s="411">
        <v>0.6</v>
      </c>
      <c r="N34" s="120">
        <f t="shared" si="1"/>
        <v>5.3459999999999993E-6</v>
      </c>
      <c r="O34" s="603"/>
      <c r="P34" s="604"/>
      <c r="Q34" s="604"/>
      <c r="R34" s="605"/>
      <c r="S34" s="390" t="s">
        <v>140</v>
      </c>
      <c r="T34" s="391">
        <v>8.9099999999999995E-3</v>
      </c>
      <c r="U34" s="119">
        <f t="shared" si="2"/>
        <v>8.9099999999999994E-6</v>
      </c>
      <c r="V34" s="411">
        <v>0.6</v>
      </c>
      <c r="W34" s="120">
        <f t="shared" si="3"/>
        <v>5.3459999999999993E-6</v>
      </c>
      <c r="X34" s="603"/>
      <c r="Y34" s="604"/>
      <c r="Z34" s="604"/>
      <c r="AA34" s="605"/>
      <c r="AB34" s="390" t="s">
        <v>140</v>
      </c>
      <c r="AC34" s="391">
        <v>8.9099999999999995E-3</v>
      </c>
      <c r="AD34" s="119">
        <f t="shared" si="4"/>
        <v>8.9099999999999994E-6</v>
      </c>
      <c r="AE34" s="411">
        <v>0.6</v>
      </c>
      <c r="AF34" s="120">
        <f t="shared" si="5"/>
        <v>5.3459999999999993E-6</v>
      </c>
      <c r="AG34" s="603"/>
      <c r="AH34" s="604"/>
      <c r="AI34" s="604"/>
      <c r="AJ34" s="605"/>
      <c r="AK34" s="415"/>
      <c r="AL34" s="391"/>
      <c r="AM34" s="119">
        <f t="shared" si="6"/>
        <v>0</v>
      </c>
      <c r="AN34" s="422"/>
      <c r="AO34" s="120">
        <f t="shared" si="7"/>
        <v>0</v>
      </c>
      <c r="AP34" s="603"/>
      <c r="AQ34" s="604"/>
      <c r="AR34" s="604"/>
      <c r="AS34" s="605"/>
      <c r="AT34" s="415"/>
      <c r="AU34" s="391"/>
      <c r="AV34" s="119">
        <f t="shared" si="8"/>
        <v>0</v>
      </c>
      <c r="AW34" s="422"/>
      <c r="AX34" s="120">
        <f t="shared" si="9"/>
        <v>0</v>
      </c>
      <c r="AY34" s="603"/>
      <c r="AZ34" s="604"/>
      <c r="BA34" s="604"/>
      <c r="BB34" s="605"/>
      <c r="BC34" s="415"/>
      <c r="BD34" s="391"/>
      <c r="BE34" s="119">
        <f t="shared" si="10"/>
        <v>0</v>
      </c>
      <c r="BF34" s="422"/>
      <c r="BG34" s="120">
        <f t="shared" si="11"/>
        <v>0</v>
      </c>
      <c r="BH34" s="603"/>
      <c r="BI34" s="604"/>
      <c r="BJ34" s="604"/>
      <c r="BK34" s="605"/>
      <c r="BL34" s="415"/>
      <c r="BM34" s="391"/>
      <c r="BN34" s="119">
        <f t="shared" si="12"/>
        <v>0</v>
      </c>
      <c r="BO34" s="422"/>
      <c r="BP34" s="120">
        <f t="shared" si="13"/>
        <v>0</v>
      </c>
      <c r="BQ34" s="603"/>
      <c r="BR34" s="604"/>
      <c r="BS34" s="604"/>
      <c r="BT34" s="605"/>
      <c r="BU34" s="415"/>
      <c r="BV34" s="391"/>
      <c r="BW34" s="119">
        <f t="shared" si="14"/>
        <v>0</v>
      </c>
      <c r="BX34" s="422"/>
      <c r="BY34" s="120">
        <f t="shared" si="15"/>
        <v>0</v>
      </c>
      <c r="BZ34" s="603"/>
      <c r="CA34" s="604"/>
      <c r="CB34" s="604"/>
      <c r="CC34" s="605"/>
      <c r="CD34" s="415"/>
      <c r="CE34" s="391"/>
      <c r="CF34" s="119">
        <f t="shared" si="16"/>
        <v>0</v>
      </c>
      <c r="CG34" s="422"/>
      <c r="CH34" s="120">
        <f t="shared" si="17"/>
        <v>0</v>
      </c>
      <c r="CI34" s="603"/>
      <c r="CJ34" s="604"/>
      <c r="CK34" s="604"/>
      <c r="CL34" s="605"/>
      <c r="CM34" s="415"/>
      <c r="CN34" s="391"/>
      <c r="CO34" s="119">
        <f t="shared" si="18"/>
        <v>0</v>
      </c>
      <c r="CP34" s="422"/>
      <c r="CQ34" s="120">
        <f t="shared" si="19"/>
        <v>0</v>
      </c>
    </row>
  </sheetData>
  <sheetProtection algorithmName="SHA-512" hashValue="41VF+DXeXkBnUudTnusov4OuqpMwgvme4hu3TFa495aCj0slkPbHlTAreNDioVyUE9yI45ZueRyvaSMW+vZgBA==" saltValue="b701dai35rmynbCy30nFvA==" spinCount="100000" sheet="1" objects="1" scenarios="1"/>
  <mergeCells count="123">
    <mergeCell ref="AB3:AC3"/>
    <mergeCell ref="AD3:AD4"/>
    <mergeCell ref="AE3:AE4"/>
    <mergeCell ref="AF3:AF4"/>
    <mergeCell ref="AK3:AL3"/>
    <mergeCell ref="AM3:AM4"/>
    <mergeCell ref="AN3:AN4"/>
    <mergeCell ref="A8:A9"/>
    <mergeCell ref="AA3:AA4"/>
    <mergeCell ref="A5:A7"/>
    <mergeCell ref="A10:A34"/>
    <mergeCell ref="J3:K3"/>
    <mergeCell ref="L3:L4"/>
    <mergeCell ref="M3:M4"/>
    <mergeCell ref="N3:N4"/>
    <mergeCell ref="S3:T3"/>
    <mergeCell ref="U3:U4"/>
    <mergeCell ref="V3:V4"/>
    <mergeCell ref="F8:I34"/>
    <mergeCell ref="O8:R34"/>
    <mergeCell ref="Z3:Z4"/>
    <mergeCell ref="W3:W4"/>
    <mergeCell ref="BL3:BM3"/>
    <mergeCell ref="BN3:BN4"/>
    <mergeCell ref="BO3:BO4"/>
    <mergeCell ref="BP3:BP4"/>
    <mergeCell ref="B10:B12"/>
    <mergeCell ref="C10:C12"/>
    <mergeCell ref="A2:A4"/>
    <mergeCell ref="B2:B4"/>
    <mergeCell ref="C2:C4"/>
    <mergeCell ref="E2:E4"/>
    <mergeCell ref="D2:D4"/>
    <mergeCell ref="F2:N2"/>
    <mergeCell ref="F3:F4"/>
    <mergeCell ref="G3:G4"/>
    <mergeCell ref="H3:H4"/>
    <mergeCell ref="I3:I4"/>
    <mergeCell ref="O3:O4"/>
    <mergeCell ref="P3:P4"/>
    <mergeCell ref="Q3:Q4"/>
    <mergeCell ref="R3:R4"/>
    <mergeCell ref="O2:W2"/>
    <mergeCell ref="X3:X4"/>
    <mergeCell ref="Y3:Y4"/>
    <mergeCell ref="AO3:AO4"/>
    <mergeCell ref="BK3:BK4"/>
    <mergeCell ref="BH2:BP2"/>
    <mergeCell ref="F1:N1"/>
    <mergeCell ref="O1:W1"/>
    <mergeCell ref="X1:AF1"/>
    <mergeCell ref="AG1:AO1"/>
    <mergeCell ref="BH1:BP1"/>
    <mergeCell ref="A1:E1"/>
    <mergeCell ref="AT3:AU3"/>
    <mergeCell ref="AV3:AV4"/>
    <mergeCell ref="AW3:AW4"/>
    <mergeCell ref="AX3:AX4"/>
    <mergeCell ref="AP3:AP4"/>
    <mergeCell ref="AQ3:AQ4"/>
    <mergeCell ref="AR3:AR4"/>
    <mergeCell ref="AS3:AS4"/>
    <mergeCell ref="BC3:BD3"/>
    <mergeCell ref="BE3:BE4"/>
    <mergeCell ref="BF3:BF4"/>
    <mergeCell ref="BG3:BG4"/>
    <mergeCell ref="X2:AF2"/>
    <mergeCell ref="AG3:AG4"/>
    <mergeCell ref="AH3:AH4"/>
    <mergeCell ref="AP2:AX2"/>
    <mergeCell ref="BQ2:BY2"/>
    <mergeCell ref="X8:AA34"/>
    <mergeCell ref="AP8:AS34"/>
    <mergeCell ref="AG8:AJ34"/>
    <mergeCell ref="AY8:BB34"/>
    <mergeCell ref="BH8:BK34"/>
    <mergeCell ref="C14:C18"/>
    <mergeCell ref="B14:B18"/>
    <mergeCell ref="E14:E18"/>
    <mergeCell ref="B24:B34"/>
    <mergeCell ref="C24:C34"/>
    <mergeCell ref="B19:B23"/>
    <mergeCell ref="C19:C23"/>
    <mergeCell ref="AI3:AI4"/>
    <mergeCell ref="AJ3:AJ4"/>
    <mergeCell ref="AG2:AO2"/>
    <mergeCell ref="BH3:BH4"/>
    <mergeCell ref="BI3:BI4"/>
    <mergeCell ref="BJ3:BJ4"/>
    <mergeCell ref="AY3:AY4"/>
    <mergeCell ref="AZ3:AZ4"/>
    <mergeCell ref="BA3:BA4"/>
    <mergeCell ref="BB3:BB4"/>
    <mergeCell ref="AY2:BG2"/>
    <mergeCell ref="BQ8:BT34"/>
    <mergeCell ref="CD3:CE3"/>
    <mergeCell ref="CF3:CF4"/>
    <mergeCell ref="CG3:CG4"/>
    <mergeCell ref="CH3:CH4"/>
    <mergeCell ref="BZ3:BZ4"/>
    <mergeCell ref="CA3:CA4"/>
    <mergeCell ref="CB3:CB4"/>
    <mergeCell ref="CC3:CC4"/>
    <mergeCell ref="BU3:BV3"/>
    <mergeCell ref="BW3:BW4"/>
    <mergeCell ref="BX3:BX4"/>
    <mergeCell ref="BY3:BY4"/>
    <mergeCell ref="BQ3:BQ4"/>
    <mergeCell ref="BR3:BR4"/>
    <mergeCell ref="BS3:BS4"/>
    <mergeCell ref="BT3:BT4"/>
    <mergeCell ref="BZ2:CH2"/>
    <mergeCell ref="BZ8:CC34"/>
    <mergeCell ref="CM3:CN3"/>
    <mergeCell ref="CO3:CO4"/>
    <mergeCell ref="CP3:CP4"/>
    <mergeCell ref="CQ3:CQ4"/>
    <mergeCell ref="CI3:CI4"/>
    <mergeCell ref="CJ3:CJ4"/>
    <mergeCell ref="CK3:CK4"/>
    <mergeCell ref="CL3:CL4"/>
    <mergeCell ref="CI2:CQ2"/>
    <mergeCell ref="CI8:CL34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workbookViewId="0">
      <selection activeCell="E43" sqref="E43"/>
    </sheetView>
  </sheetViews>
  <sheetFormatPr baseColWidth="10" defaultColWidth="16.33203125" defaultRowHeight="19.95" customHeight="1"/>
  <cols>
    <col min="1" max="1" width="21.44140625" style="143" customWidth="1"/>
    <col min="2" max="3" width="13" style="143" customWidth="1"/>
    <col min="4" max="4" width="14.33203125" style="143" customWidth="1"/>
    <col min="5" max="14" width="10.88671875" style="143" customWidth="1"/>
    <col min="15" max="256" width="16.33203125" style="143" customWidth="1"/>
  </cols>
  <sheetData>
    <row r="1" spans="1:14" ht="61.5" customHeight="1">
      <c r="A1" s="652" t="s">
        <v>149</v>
      </c>
      <c r="B1" s="538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21.15" customHeight="1">
      <c r="A2" s="146" t="s">
        <v>150</v>
      </c>
      <c r="B2" s="427">
        <v>6143</v>
      </c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34.950000000000003" customHeight="1">
      <c r="A3" s="147" t="s">
        <v>151</v>
      </c>
      <c r="B3" s="428">
        <v>5583</v>
      </c>
      <c r="C3" s="144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ht="64.5" customHeight="1">
      <c r="A4" s="148" t="s">
        <v>152</v>
      </c>
      <c r="B4" s="429">
        <v>5336</v>
      </c>
      <c r="C4" s="149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ht="39.75" customHeight="1">
      <c r="A5" s="652" t="s">
        <v>153</v>
      </c>
      <c r="B5" s="538"/>
      <c r="C5" s="526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ht="49.65" customHeight="1">
      <c r="A6" s="150" t="s">
        <v>154</v>
      </c>
      <c r="B6" s="151" t="s">
        <v>155</v>
      </c>
      <c r="C6" s="152" t="s">
        <v>156</v>
      </c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14" ht="20.7" customHeight="1">
      <c r="A7" s="153" t="s">
        <v>157</v>
      </c>
      <c r="B7" s="430">
        <v>3852</v>
      </c>
      <c r="C7" s="428">
        <v>420</v>
      </c>
      <c r="D7" s="144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21.15" customHeight="1">
      <c r="A8" s="154" t="s">
        <v>158</v>
      </c>
      <c r="B8" s="431">
        <v>681</v>
      </c>
      <c r="C8" s="429">
        <v>52</v>
      </c>
      <c r="D8" s="144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ht="21.6" customHeight="1">
      <c r="A9" s="155"/>
      <c r="B9" s="155"/>
      <c r="C9" s="155"/>
      <c r="D9" s="156"/>
      <c r="E9" s="156"/>
      <c r="F9" s="156"/>
      <c r="G9" s="156"/>
      <c r="H9" s="156"/>
      <c r="I9" s="156"/>
      <c r="J9" s="156"/>
      <c r="K9" s="156"/>
      <c r="L9" s="145"/>
      <c r="M9" s="145"/>
      <c r="N9" s="145"/>
    </row>
    <row r="10" spans="1:14" ht="35.4" customHeight="1">
      <c r="A10" s="509" t="s">
        <v>159</v>
      </c>
      <c r="B10" s="510"/>
      <c r="C10" s="510"/>
      <c r="D10" s="510"/>
      <c r="E10" s="510"/>
      <c r="F10" s="510"/>
      <c r="G10" s="511"/>
      <c r="H10" s="553"/>
      <c r="I10" s="537"/>
      <c r="J10" s="537"/>
      <c r="K10" s="538"/>
      <c r="L10" s="157"/>
      <c r="M10" s="158"/>
      <c r="N10" s="158"/>
    </row>
    <row r="11" spans="1:14" ht="20.7" customHeight="1">
      <c r="A11" s="159" t="s">
        <v>160</v>
      </c>
      <c r="B11" s="160">
        <v>2016</v>
      </c>
      <c r="C11" s="160">
        <v>2017</v>
      </c>
      <c r="D11" s="160">
        <v>2018</v>
      </c>
      <c r="E11" s="160">
        <v>2019</v>
      </c>
      <c r="F11" s="160">
        <v>2020</v>
      </c>
      <c r="G11" s="160">
        <v>2021</v>
      </c>
      <c r="H11" s="160">
        <v>2022</v>
      </c>
      <c r="I11" s="160">
        <v>2023</v>
      </c>
      <c r="J11" s="160">
        <v>2024</v>
      </c>
      <c r="K11" s="161">
        <v>2025</v>
      </c>
      <c r="L11" s="157"/>
      <c r="M11" s="158"/>
      <c r="N11" s="158"/>
    </row>
    <row r="12" spans="1:14" ht="42.15" customHeight="1">
      <c r="A12" s="162" t="s">
        <v>161</v>
      </c>
      <c r="B12" s="432">
        <v>104</v>
      </c>
      <c r="C12" s="432">
        <v>107</v>
      </c>
      <c r="D12" s="432">
        <v>108</v>
      </c>
      <c r="E12" s="433"/>
      <c r="F12" s="433"/>
      <c r="G12" s="433"/>
      <c r="H12" s="433"/>
      <c r="I12" s="433"/>
      <c r="J12" s="433"/>
      <c r="K12" s="434"/>
      <c r="L12" s="163"/>
      <c r="M12" s="164"/>
      <c r="N12" s="164"/>
    </row>
    <row r="13" spans="1:14" ht="41.7" customHeight="1">
      <c r="A13" s="165" t="s">
        <v>162</v>
      </c>
      <c r="B13" s="435">
        <v>59</v>
      </c>
      <c r="C13" s="435">
        <v>54</v>
      </c>
      <c r="D13" s="435">
        <v>50</v>
      </c>
      <c r="E13" s="436"/>
      <c r="F13" s="437"/>
      <c r="G13" s="437"/>
      <c r="H13" s="437"/>
      <c r="I13" s="437"/>
      <c r="J13" s="437"/>
      <c r="K13" s="438"/>
      <c r="L13" s="163"/>
      <c r="M13" s="164"/>
      <c r="N13" s="164"/>
    </row>
    <row r="14" spans="1:14" ht="31.2" customHeight="1">
      <c r="A14" s="166" t="s">
        <v>163</v>
      </c>
      <c r="B14" s="439">
        <v>86</v>
      </c>
      <c r="C14" s="439">
        <v>92</v>
      </c>
      <c r="D14" s="439">
        <v>85</v>
      </c>
      <c r="E14" s="440"/>
      <c r="F14" s="440"/>
      <c r="G14" s="440"/>
      <c r="H14" s="440"/>
      <c r="I14" s="440"/>
      <c r="J14" s="440"/>
      <c r="K14" s="441"/>
      <c r="L14" s="163"/>
      <c r="M14" s="164"/>
      <c r="N14" s="164"/>
    </row>
    <row r="15" spans="1:14" ht="20.7" customHeight="1">
      <c r="A15" s="167" t="s">
        <v>164</v>
      </c>
      <c r="B15" s="160">
        <f t="shared" ref="B15:K15" si="0">SUM(B12:B14)</f>
        <v>249</v>
      </c>
      <c r="C15" s="160">
        <f t="shared" si="0"/>
        <v>253</v>
      </c>
      <c r="D15" s="160">
        <f t="shared" si="0"/>
        <v>243</v>
      </c>
      <c r="E15" s="160">
        <f t="shared" si="0"/>
        <v>0</v>
      </c>
      <c r="F15" s="160">
        <f t="shared" si="0"/>
        <v>0</v>
      </c>
      <c r="G15" s="160">
        <f t="shared" si="0"/>
        <v>0</v>
      </c>
      <c r="H15" s="160">
        <f t="shared" si="0"/>
        <v>0</v>
      </c>
      <c r="I15" s="160">
        <f t="shared" si="0"/>
        <v>0</v>
      </c>
      <c r="J15" s="160">
        <f t="shared" si="0"/>
        <v>0</v>
      </c>
      <c r="K15" s="161">
        <f t="shared" si="0"/>
        <v>0</v>
      </c>
      <c r="L15" s="163"/>
      <c r="M15" s="164"/>
      <c r="N15" s="164"/>
    </row>
    <row r="16" spans="1:14" ht="20.7" customHeight="1">
      <c r="A16" s="655" t="s">
        <v>165</v>
      </c>
      <c r="B16" s="537"/>
      <c r="C16" s="537"/>
      <c r="D16" s="537"/>
      <c r="E16" s="537"/>
      <c r="F16" s="537"/>
      <c r="G16" s="537"/>
      <c r="H16" s="537"/>
      <c r="I16" s="537"/>
      <c r="J16" s="537"/>
      <c r="K16" s="538"/>
      <c r="L16" s="163"/>
      <c r="M16" s="164"/>
      <c r="N16" s="164"/>
    </row>
    <row r="17" spans="1:14" ht="20.7" customHeight="1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70"/>
      <c r="M17" s="170"/>
      <c r="N17" s="170"/>
    </row>
    <row r="18" spans="1:14" ht="37.65" customHeight="1">
      <c r="A18" s="656" t="s">
        <v>166</v>
      </c>
      <c r="B18" s="526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</row>
    <row r="19" spans="1:14" ht="42.6" customHeight="1">
      <c r="A19" s="159" t="s">
        <v>167</v>
      </c>
      <c r="B19" s="171" t="s">
        <v>168</v>
      </c>
      <c r="C19" s="171" t="s">
        <v>169</v>
      </c>
      <c r="D19" s="171" t="s">
        <v>170</v>
      </c>
      <c r="E19" s="171" t="s">
        <v>171</v>
      </c>
      <c r="F19" s="171" t="s">
        <v>172</v>
      </c>
      <c r="G19" s="171" t="s">
        <v>173</v>
      </c>
      <c r="H19" s="171" t="s">
        <v>174</v>
      </c>
      <c r="I19" s="171" t="s">
        <v>175</v>
      </c>
      <c r="J19" s="171" t="s">
        <v>176</v>
      </c>
      <c r="K19" s="171" t="s">
        <v>177</v>
      </c>
      <c r="L19" s="171" t="s">
        <v>178</v>
      </c>
      <c r="M19" s="171" t="s">
        <v>179</v>
      </c>
      <c r="N19" s="172" t="s">
        <v>180</v>
      </c>
    </row>
    <row r="20" spans="1:14" ht="31.2" customHeight="1">
      <c r="A20" s="442" t="s">
        <v>181</v>
      </c>
      <c r="B20" s="443" t="s">
        <v>182</v>
      </c>
      <c r="C20" s="443" t="s">
        <v>183</v>
      </c>
      <c r="D20" s="432">
        <v>8.5000000000000006E-2</v>
      </c>
      <c r="E20" s="444"/>
      <c r="F20" s="444">
        <v>8321</v>
      </c>
      <c r="G20" s="444">
        <v>13192</v>
      </c>
      <c r="H20" s="444"/>
      <c r="I20" s="444"/>
      <c r="J20" s="444"/>
      <c r="K20" s="444"/>
      <c r="L20" s="444"/>
      <c r="M20" s="444"/>
      <c r="N20" s="445"/>
    </row>
    <row r="21" spans="1:14" ht="30.6" customHeight="1">
      <c r="A21" s="446" t="s">
        <v>184</v>
      </c>
      <c r="B21" s="447" t="s">
        <v>185</v>
      </c>
      <c r="C21" s="447" t="s">
        <v>183</v>
      </c>
      <c r="D21" s="435">
        <v>5.6000000000000001E-2</v>
      </c>
      <c r="E21" s="448"/>
      <c r="F21" s="448">
        <v>25372</v>
      </c>
      <c r="G21" s="448">
        <v>23004</v>
      </c>
      <c r="H21" s="448"/>
      <c r="I21" s="448"/>
      <c r="J21" s="448"/>
      <c r="K21" s="448"/>
      <c r="L21" s="448"/>
      <c r="M21" s="448"/>
      <c r="N21" s="449"/>
    </row>
    <row r="22" spans="1:14" ht="30.6" customHeight="1">
      <c r="A22" s="446" t="s">
        <v>186</v>
      </c>
      <c r="B22" s="447" t="s">
        <v>185</v>
      </c>
      <c r="C22" s="447" t="s">
        <v>183</v>
      </c>
      <c r="D22" s="435">
        <v>5.2999999999999999E-2</v>
      </c>
      <c r="E22" s="448"/>
      <c r="F22" s="448">
        <v>22517</v>
      </c>
      <c r="G22" s="448">
        <v>20104</v>
      </c>
      <c r="H22" s="448"/>
      <c r="I22" s="448"/>
      <c r="J22" s="448"/>
      <c r="K22" s="448"/>
      <c r="L22" s="448"/>
      <c r="M22" s="448"/>
      <c r="N22" s="449"/>
    </row>
    <row r="23" spans="1:14" ht="30.6" customHeight="1">
      <c r="A23" s="446" t="s">
        <v>187</v>
      </c>
      <c r="B23" s="447" t="s">
        <v>185</v>
      </c>
      <c r="C23" s="447" t="s">
        <v>183</v>
      </c>
      <c r="D23" s="435">
        <v>4.8000000000000001E-2</v>
      </c>
      <c r="E23" s="448"/>
      <c r="F23" s="448">
        <v>24732</v>
      </c>
      <c r="G23" s="448">
        <v>23358</v>
      </c>
      <c r="H23" s="448"/>
      <c r="I23" s="448"/>
      <c r="J23" s="448"/>
      <c r="K23" s="448"/>
      <c r="L23" s="448"/>
      <c r="M23" s="448"/>
      <c r="N23" s="449"/>
    </row>
    <row r="24" spans="1:14" ht="19.649999999999999" customHeight="1">
      <c r="A24" s="446" t="s">
        <v>188</v>
      </c>
      <c r="B24" s="447" t="s">
        <v>185</v>
      </c>
      <c r="C24" s="447" t="s">
        <v>183</v>
      </c>
      <c r="D24" s="435">
        <v>4.3999999999999997E-2</v>
      </c>
      <c r="E24" s="448"/>
      <c r="F24" s="448">
        <v>3914</v>
      </c>
      <c r="G24" s="448"/>
      <c r="H24" s="448"/>
      <c r="I24" s="448"/>
      <c r="J24" s="448"/>
      <c r="K24" s="448"/>
      <c r="L24" s="448"/>
      <c r="M24" s="448"/>
      <c r="N24" s="449"/>
    </row>
    <row r="25" spans="1:14" ht="20.100000000000001" customHeight="1">
      <c r="A25" s="450" t="s">
        <v>189</v>
      </c>
      <c r="B25" s="451" t="s">
        <v>185</v>
      </c>
      <c r="C25" s="451" t="s">
        <v>183</v>
      </c>
      <c r="D25" s="439">
        <v>4.5999999999999999E-2</v>
      </c>
      <c r="E25" s="452"/>
      <c r="F25" s="452">
        <v>2348</v>
      </c>
      <c r="G25" s="452"/>
      <c r="H25" s="452"/>
      <c r="I25" s="452"/>
      <c r="J25" s="452"/>
      <c r="K25" s="452"/>
      <c r="L25" s="452"/>
      <c r="M25" s="452"/>
      <c r="N25" s="453"/>
    </row>
    <row r="26" spans="1:14" ht="20.7" customHeight="1">
      <c r="A26" s="178"/>
      <c r="B26" s="169"/>
      <c r="C26" s="169"/>
      <c r="D26" s="169"/>
      <c r="E26" s="179"/>
      <c r="F26" s="179"/>
      <c r="G26" s="179"/>
      <c r="H26" s="179"/>
      <c r="I26" s="179"/>
      <c r="J26" s="179"/>
      <c r="K26" s="179"/>
      <c r="L26" s="179"/>
      <c r="M26" s="180"/>
      <c r="N26" s="180"/>
    </row>
    <row r="27" spans="1:14" ht="21.15" customHeight="1">
      <c r="A27" s="644" t="s">
        <v>67</v>
      </c>
      <c r="B27" s="645"/>
      <c r="C27" s="181">
        <v>2016</v>
      </c>
      <c r="D27" s="182">
        <v>2017</v>
      </c>
      <c r="E27" s="182">
        <v>2018</v>
      </c>
      <c r="F27" s="182">
        <v>2019</v>
      </c>
      <c r="G27" s="182">
        <v>2020</v>
      </c>
      <c r="H27" s="182">
        <v>2021</v>
      </c>
      <c r="I27" s="182">
        <v>2022</v>
      </c>
      <c r="J27" s="183">
        <v>2023</v>
      </c>
      <c r="K27" s="184">
        <v>2024</v>
      </c>
      <c r="L27" s="185">
        <v>2025</v>
      </c>
      <c r="M27" s="186"/>
      <c r="N27" s="187"/>
    </row>
    <row r="28" spans="1:14" ht="32.4" customHeight="1">
      <c r="A28" s="648" t="s">
        <v>190</v>
      </c>
      <c r="B28" s="649"/>
      <c r="C28" s="454"/>
      <c r="D28" s="455">
        <v>39</v>
      </c>
      <c r="E28" s="456"/>
      <c r="F28" s="456"/>
      <c r="G28" s="456"/>
      <c r="H28" s="456"/>
      <c r="I28" s="457"/>
      <c r="J28" s="457"/>
      <c r="K28" s="457"/>
      <c r="L28" s="458"/>
      <c r="M28" s="186"/>
      <c r="N28" s="187"/>
    </row>
    <row r="29" spans="1:14" ht="27.75" customHeight="1">
      <c r="A29" s="653" t="s">
        <v>191</v>
      </c>
      <c r="B29" s="654"/>
      <c r="C29" s="459"/>
      <c r="D29" s="460">
        <v>3</v>
      </c>
      <c r="E29" s="461"/>
      <c r="F29" s="461"/>
      <c r="G29" s="461"/>
      <c r="H29" s="461"/>
      <c r="I29" s="462"/>
      <c r="J29" s="462"/>
      <c r="K29" s="462"/>
      <c r="L29" s="463"/>
      <c r="M29" s="186"/>
      <c r="N29" s="187"/>
    </row>
    <row r="30" spans="1:14" ht="20.100000000000001" customHeight="1">
      <c r="A30" s="653" t="s">
        <v>192</v>
      </c>
      <c r="B30" s="654"/>
      <c r="C30" s="459"/>
      <c r="D30" s="460">
        <v>42</v>
      </c>
      <c r="E30" s="460">
        <v>49</v>
      </c>
      <c r="F30" s="461"/>
      <c r="G30" s="461"/>
      <c r="H30" s="461"/>
      <c r="I30" s="462"/>
      <c r="J30" s="462"/>
      <c r="K30" s="462"/>
      <c r="L30" s="463"/>
      <c r="M30" s="186"/>
      <c r="N30" s="187"/>
    </row>
    <row r="31" spans="1:14" ht="20.100000000000001" customHeight="1">
      <c r="A31" s="653" t="s">
        <v>193</v>
      </c>
      <c r="B31" s="654"/>
      <c r="C31" s="464">
        <v>7</v>
      </c>
      <c r="D31" s="460">
        <v>7</v>
      </c>
      <c r="E31" s="460">
        <v>7</v>
      </c>
      <c r="F31" s="460">
        <v>7</v>
      </c>
      <c r="G31" s="461"/>
      <c r="H31" s="461"/>
      <c r="I31" s="462"/>
      <c r="J31" s="462"/>
      <c r="K31" s="462"/>
      <c r="L31" s="463"/>
      <c r="M31" s="186"/>
      <c r="N31" s="187"/>
    </row>
    <row r="32" spans="1:14" ht="32.1" customHeight="1">
      <c r="A32" s="653" t="s">
        <v>194</v>
      </c>
      <c r="B32" s="654"/>
      <c r="C32" s="191">
        <f t="shared" ref="C32:L32" si="1">C31/5</f>
        <v>1.4</v>
      </c>
      <c r="D32" s="188">
        <f t="shared" si="1"/>
        <v>1.4</v>
      </c>
      <c r="E32" s="188">
        <f t="shared" si="1"/>
        <v>1.4</v>
      </c>
      <c r="F32" s="188">
        <f t="shared" si="1"/>
        <v>1.4</v>
      </c>
      <c r="G32" s="188">
        <f t="shared" si="1"/>
        <v>0</v>
      </c>
      <c r="H32" s="188">
        <f t="shared" si="1"/>
        <v>0</v>
      </c>
      <c r="I32" s="188">
        <f t="shared" si="1"/>
        <v>0</v>
      </c>
      <c r="J32" s="188">
        <f t="shared" si="1"/>
        <v>0</v>
      </c>
      <c r="K32" s="188">
        <f t="shared" si="1"/>
        <v>0</v>
      </c>
      <c r="L32" s="192">
        <f t="shared" si="1"/>
        <v>0</v>
      </c>
      <c r="M32" s="186"/>
      <c r="N32" s="187"/>
    </row>
    <row r="33" spans="1:14" ht="20.100000000000001" customHeight="1">
      <c r="A33" s="653" t="s">
        <v>195</v>
      </c>
      <c r="B33" s="654"/>
      <c r="C33" s="464">
        <v>5</v>
      </c>
      <c r="D33" s="460">
        <v>5</v>
      </c>
      <c r="E33" s="460">
        <v>5</v>
      </c>
      <c r="F33" s="460">
        <v>5</v>
      </c>
      <c r="G33" s="461"/>
      <c r="H33" s="461"/>
      <c r="I33" s="462"/>
      <c r="J33" s="462"/>
      <c r="K33" s="462"/>
      <c r="L33" s="463"/>
      <c r="M33" s="186"/>
      <c r="N33" s="187"/>
    </row>
    <row r="34" spans="1:14" ht="30" customHeight="1">
      <c r="A34" s="650" t="s">
        <v>196</v>
      </c>
      <c r="B34" s="651"/>
      <c r="C34" s="193">
        <f t="shared" ref="C34:L34" si="2">C33/5</f>
        <v>1</v>
      </c>
      <c r="D34" s="194">
        <f t="shared" si="2"/>
        <v>1</v>
      </c>
      <c r="E34" s="194">
        <f t="shared" si="2"/>
        <v>1</v>
      </c>
      <c r="F34" s="194">
        <f t="shared" si="2"/>
        <v>1</v>
      </c>
      <c r="G34" s="194">
        <f t="shared" si="2"/>
        <v>0</v>
      </c>
      <c r="H34" s="194">
        <f t="shared" si="2"/>
        <v>0</v>
      </c>
      <c r="I34" s="194">
        <f t="shared" si="2"/>
        <v>0</v>
      </c>
      <c r="J34" s="194">
        <f t="shared" si="2"/>
        <v>0</v>
      </c>
      <c r="K34" s="194">
        <f t="shared" si="2"/>
        <v>0</v>
      </c>
      <c r="L34" s="195">
        <f t="shared" si="2"/>
        <v>0</v>
      </c>
      <c r="M34" s="186"/>
      <c r="N34" s="187"/>
    </row>
    <row r="35" spans="1:14" ht="21.75" customHeight="1">
      <c r="A35" s="642"/>
      <c r="B35" s="643"/>
      <c r="C35" s="196"/>
      <c r="D35" s="196"/>
      <c r="E35" s="196"/>
      <c r="F35" s="196"/>
      <c r="G35" s="196"/>
      <c r="H35" s="196"/>
      <c r="I35" s="196"/>
      <c r="J35" s="179"/>
      <c r="K35" s="179"/>
      <c r="L35" s="179"/>
      <c r="M35" s="187"/>
      <c r="N35" s="187"/>
    </row>
    <row r="36" spans="1:14" ht="21.15" customHeight="1">
      <c r="A36" s="644" t="s">
        <v>51</v>
      </c>
      <c r="B36" s="645"/>
      <c r="C36" s="181">
        <v>2016</v>
      </c>
      <c r="D36" s="182">
        <v>2017</v>
      </c>
      <c r="E36" s="182">
        <v>2018</v>
      </c>
      <c r="F36" s="182">
        <v>2019</v>
      </c>
      <c r="G36" s="182">
        <v>2020</v>
      </c>
      <c r="H36" s="182">
        <v>2021</v>
      </c>
      <c r="I36" s="182">
        <v>2022</v>
      </c>
      <c r="J36" s="182">
        <v>2023</v>
      </c>
      <c r="K36" s="182">
        <v>2024</v>
      </c>
      <c r="L36" s="197">
        <v>2025</v>
      </c>
      <c r="M36" s="186"/>
      <c r="N36" s="187"/>
    </row>
    <row r="37" spans="1:14" ht="21.15" customHeight="1">
      <c r="A37" s="646" t="s">
        <v>197</v>
      </c>
      <c r="B37" s="647"/>
      <c r="C37" s="465">
        <v>14</v>
      </c>
      <c r="D37" s="468">
        <v>14</v>
      </c>
      <c r="E37" s="468">
        <v>14</v>
      </c>
      <c r="F37" s="468">
        <v>14</v>
      </c>
      <c r="G37" s="469"/>
      <c r="H37" s="469"/>
      <c r="I37" s="469"/>
      <c r="J37" s="470"/>
      <c r="K37" s="470"/>
      <c r="L37" s="471"/>
      <c r="M37" s="186"/>
      <c r="N37" s="187"/>
    </row>
    <row r="38" spans="1:14" ht="20.85" customHeight="1">
      <c r="A38" s="648" t="s">
        <v>198</v>
      </c>
      <c r="B38" s="649"/>
      <c r="C38" s="466" t="s">
        <v>199</v>
      </c>
      <c r="D38" s="198"/>
      <c r="E38" s="199"/>
      <c r="F38" s="199"/>
      <c r="G38" s="199"/>
      <c r="H38" s="199"/>
      <c r="I38" s="199"/>
      <c r="J38" s="180"/>
      <c r="K38" s="180"/>
      <c r="L38" s="180"/>
      <c r="M38" s="187"/>
      <c r="N38" s="187"/>
    </row>
    <row r="39" spans="1:14" ht="20.85" customHeight="1">
      <c r="A39" s="650" t="s">
        <v>200</v>
      </c>
      <c r="B39" s="651"/>
      <c r="C39" s="467">
        <v>1624</v>
      </c>
      <c r="D39" s="200"/>
      <c r="E39" s="201"/>
      <c r="F39" s="201"/>
      <c r="G39" s="201"/>
      <c r="H39" s="201"/>
      <c r="I39" s="201"/>
      <c r="J39" s="187"/>
      <c r="K39" s="187"/>
      <c r="L39" s="187"/>
      <c r="M39" s="187"/>
      <c r="N39" s="187"/>
    </row>
  </sheetData>
  <sheetProtection algorithmName="SHA-512" hashValue="8hIARJ3N9iG3ebackwjU6KSVZyo7e83ZbbMbXVDNNsrxU8q41bpqbYfw3ImDhArz2tnOw1qQzNKW2sO0r/zWbQ==" saltValue="2TVaktdEpJl+H9gKU66N1A==" spinCount="100000" sheet="1" objects="1" scenarios="1"/>
  <mergeCells count="18">
    <mergeCell ref="A1:B1"/>
    <mergeCell ref="A29:B29"/>
    <mergeCell ref="A30:B30"/>
    <mergeCell ref="A31:B31"/>
    <mergeCell ref="A34:B34"/>
    <mergeCell ref="A27:B27"/>
    <mergeCell ref="A32:B32"/>
    <mergeCell ref="A33:B33"/>
    <mergeCell ref="A28:B28"/>
    <mergeCell ref="A5:C5"/>
    <mergeCell ref="A10:K10"/>
    <mergeCell ref="A16:K16"/>
    <mergeCell ref="A18:N18"/>
    <mergeCell ref="A35:B35"/>
    <mergeCell ref="A36:B36"/>
    <mergeCell ref="A37:B37"/>
    <mergeCell ref="A38:B38"/>
    <mergeCell ref="A39:B39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31" workbookViewId="0"/>
  </sheetViews>
  <sheetFormatPr baseColWidth="10" defaultColWidth="10" defaultRowHeight="12.9" customHeight="1"/>
  <cols>
    <col min="1" max="256" width="10" customWidth="1"/>
  </cols>
  <sheetData/>
  <sheetProtection algorithmName="SHA-512" hashValue="/gpKjCvu7RX/3nPcxEC4uiG7V4Gft2G0QaqAma53Htj73+hPlVFysJMgmFZyJn1Dccf5vNcx/Ecjrvhx/GLn8g==" saltValue="X9dBmkXUQB+YJLmYW4zmtQ==" spinCount="100000" sheet="1" objects="1" scenarios="1"/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showGridLines="0" workbookViewId="0"/>
  </sheetViews>
  <sheetFormatPr baseColWidth="10" defaultColWidth="16.33203125" defaultRowHeight="19.95" customHeight="1"/>
  <cols>
    <col min="1" max="2" width="16.33203125" style="202" customWidth="1"/>
    <col min="3" max="12" width="13.33203125" style="202" customWidth="1"/>
    <col min="13" max="256" width="16.33203125" style="202" customWidth="1"/>
  </cols>
  <sheetData>
    <row r="1" spans="1:12" ht="45" customHeight="1">
      <c r="A1" s="203"/>
      <c r="B1" s="204"/>
      <c r="C1" s="657" t="s">
        <v>201</v>
      </c>
      <c r="D1" s="658"/>
      <c r="E1" s="658"/>
      <c r="F1" s="658"/>
      <c r="G1" s="658"/>
      <c r="H1" s="658"/>
      <c r="I1" s="658"/>
      <c r="J1" s="658"/>
      <c r="K1" s="658"/>
      <c r="L1" s="658"/>
    </row>
    <row r="2" spans="1:12" ht="45" customHeight="1">
      <c r="A2" s="671"/>
      <c r="B2" s="672"/>
      <c r="C2" s="205">
        <v>2016</v>
      </c>
      <c r="D2" s="206">
        <v>2017</v>
      </c>
      <c r="E2" s="206">
        <v>2018</v>
      </c>
      <c r="F2" s="206">
        <v>2019</v>
      </c>
      <c r="G2" s="206">
        <v>2020</v>
      </c>
      <c r="H2" s="206">
        <v>2021</v>
      </c>
      <c r="I2" s="206">
        <v>2022</v>
      </c>
      <c r="J2" s="206">
        <v>2023</v>
      </c>
      <c r="K2" s="206">
        <v>2024</v>
      </c>
      <c r="L2" s="207">
        <v>2025</v>
      </c>
    </row>
    <row r="3" spans="1:12" ht="31.65" customHeight="1">
      <c r="A3" s="367" t="s">
        <v>202</v>
      </c>
      <c r="B3" s="208" t="s">
        <v>203</v>
      </c>
      <c r="C3" s="209">
        <f>IFERROR('Bilan GES ISTerre'!I40/'Infos ISTerre'!B15,"")</f>
        <v>1.2156144774651618</v>
      </c>
      <c r="D3" s="210">
        <f>IFERROR('Bilan GES ISTerre'!N40/'Infos ISTerre'!C15,"")</f>
        <v>4.2094875544063903</v>
      </c>
      <c r="E3" s="210">
        <f>IFERROR('Bilan GES ISTerre'!S40/'Infos ISTerre'!D15,"")</f>
        <v>0.8844580292657831</v>
      </c>
      <c r="F3" s="211" t="str">
        <f>IFERROR('Bilan GES ISTerre'!X40/'Infos ISTerre'!E15,"")</f>
        <v/>
      </c>
      <c r="G3" s="211" t="str">
        <f>IFERROR('Bilan GES ISTerre'!AC40/'Infos ISTerre'!F15,"")</f>
        <v/>
      </c>
      <c r="H3" s="211" t="str">
        <f>IFERROR('Bilan GES ISTerre'!AH40/'Infos ISTerre'!G15,"")</f>
        <v/>
      </c>
      <c r="I3" s="211" t="str">
        <f>IFERROR('Bilan GES ISTerre'!AM40/'Infos ISTerre'!H15,"")</f>
        <v/>
      </c>
      <c r="J3" s="211" t="str">
        <f>IFERROR('Bilan GES ISTerre'!AR40/'Infos ISTerre'!I15,"")</f>
        <v/>
      </c>
      <c r="K3" s="211" t="str">
        <f>IFERROR('Bilan GES ISTerre'!AW40/'Infos ISTerre'!J15,"")</f>
        <v/>
      </c>
      <c r="L3" s="212" t="str">
        <f>IFERROR('Bilan GES ISTerre'!BB40/'Infos ISTerre'!K15,"")</f>
        <v/>
      </c>
    </row>
    <row r="4" spans="1:12" ht="20.7" customHeight="1">
      <c r="A4" s="371"/>
      <c r="B4" s="371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ht="31.2" customHeight="1">
      <c r="A5" s="673" t="s">
        <v>204</v>
      </c>
      <c r="B5" s="674"/>
      <c r="C5" s="214">
        <f>IFERROR('Bilan GES ISTerre'!I8/'Bilan GES ISTerre'!I$40,"")</f>
        <v>6.084205420285517E-2</v>
      </c>
      <c r="D5" s="215">
        <f>IFERROR('Bilan GES ISTerre'!N8/'Bilan GES ISTerre'!N$40,"")</f>
        <v>2.8578623231300605E-2</v>
      </c>
      <c r="E5" s="215">
        <f>IFERROR('Bilan GES ISTerre'!S8/'Bilan GES ISTerre'!S$40,"")</f>
        <v>0.13936470473459248</v>
      </c>
      <c r="F5" s="215">
        <f>IFERROR('Bilan GES ISTerre'!X8/'Bilan GES ISTerre'!X$40,"")</f>
        <v>0.81049336858819754</v>
      </c>
      <c r="G5" s="216" t="str">
        <f>IFERROR('Bilan GES ISTerre'!AC8/'Bilan GES ISTerre'!AC$40,"")</f>
        <v/>
      </c>
      <c r="H5" s="216" t="str">
        <f>IFERROR('Bilan GES ISTerre'!AH8/'Bilan GES ISTerre'!AH$40,"")</f>
        <v/>
      </c>
      <c r="I5" s="216" t="str">
        <f>IFERROR('Bilan GES ISTerre'!AM8/'Bilan GES ISTerre'!AM$40,"")</f>
        <v/>
      </c>
      <c r="J5" s="216" t="str">
        <f>IFERROR('Bilan GES ISTerre'!AR8/'Bilan GES ISTerre'!AR$40,"")</f>
        <v/>
      </c>
      <c r="K5" s="216" t="str">
        <f>IFERROR('Bilan GES ISTerre'!AW8/'Bilan GES ISTerre'!AW$40,"")</f>
        <v/>
      </c>
      <c r="L5" s="217" t="str">
        <f>IFERROR('Bilan GES ISTerre'!BB8/'Bilan GES ISTerre'!BB$40,"")</f>
        <v/>
      </c>
    </row>
    <row r="6" spans="1:12" ht="30.45" customHeight="1">
      <c r="A6" s="678" t="s">
        <v>47</v>
      </c>
      <c r="B6" s="662"/>
      <c r="C6" s="218">
        <f>IFERROR('Bilan GES ISTerre'!I5/'Bilan GES ISTerre'!I$40,"")</f>
        <v>0</v>
      </c>
      <c r="D6" s="219">
        <f>IFERROR('Bilan GES ISTerre'!N5/'Bilan GES ISTerre'!$N$40,"")</f>
        <v>0</v>
      </c>
      <c r="E6" s="219">
        <f>IFERROR('Bilan GES ISTerre'!S5/'Bilan GES ISTerre'!$S$40,"")</f>
        <v>0</v>
      </c>
      <c r="F6" s="219">
        <f>IFERROR('Bilan GES ISTerre'!X5/'Bilan GES ISTerre'!$X$40,"")</f>
        <v>0</v>
      </c>
      <c r="G6" s="220" t="str">
        <f>IFERROR('Bilan GES ISTerre'!AC5/'Bilan GES ISTerre'!$AC$40,"")</f>
        <v/>
      </c>
      <c r="H6" s="220" t="str">
        <f>IFERROR('Bilan GES ISTerre'!AH5/'Bilan GES ISTerre'!AH$40,"")</f>
        <v/>
      </c>
      <c r="I6" s="220" t="str">
        <f>IFERROR('Bilan GES ISTerre'!AM5/'Bilan GES ISTerre'!$AM$40,"")</f>
        <v/>
      </c>
      <c r="J6" s="220" t="str">
        <f>IFERROR('Bilan GES ISTerre'!AR5/'Bilan GES ISTerre'!$AR$40,"")</f>
        <v/>
      </c>
      <c r="K6" s="220" t="str">
        <f>IFERROR('Bilan GES ISTerre'!AW5/'Bilan GES ISTerre'!$AW$40,"")</f>
        <v/>
      </c>
      <c r="L6" s="221" t="str">
        <f>IFERROR('Bilan GES ISTerre'!BB5/'Bilan GES ISTerre'!$BB$40,"")</f>
        <v/>
      </c>
    </row>
    <row r="7" spans="1:12" ht="30" customHeight="1">
      <c r="A7" s="679" t="s">
        <v>48</v>
      </c>
      <c r="B7" s="507"/>
      <c r="C7" s="222">
        <f>IFERROR('Bilan GES ISTerre'!I6/'Bilan GES ISTerre'!I$40,"")</f>
        <v>0</v>
      </c>
      <c r="D7" s="223">
        <f>IFERROR('Bilan GES ISTerre'!N6/'Bilan GES ISTerre'!$N$40,"")</f>
        <v>1.1286459920623215E-2</v>
      </c>
      <c r="E7" s="223">
        <f>IFERROR('Bilan GES ISTerre'!S6/'Bilan GES ISTerre'!$S$40,"")</f>
        <v>5.3677578654025837E-2</v>
      </c>
      <c r="F7" s="223">
        <f>IFERROR('Bilan GES ISTerre'!X6/'Bilan GES ISTerre'!$X$40,"")</f>
        <v>0</v>
      </c>
      <c r="G7" s="224" t="str">
        <f>IFERROR('Bilan GES ISTerre'!AC6/'Bilan GES ISTerre'!$AC$40,"")</f>
        <v/>
      </c>
      <c r="H7" s="224" t="str">
        <f>IFERROR('Bilan GES ISTerre'!AH6/'Bilan GES ISTerre'!AH$40,"")</f>
        <v/>
      </c>
      <c r="I7" s="224" t="str">
        <f>IFERROR('Bilan GES ISTerre'!AM6/'Bilan GES ISTerre'!$AM$40,"")</f>
        <v/>
      </c>
      <c r="J7" s="224" t="str">
        <f>IFERROR('Bilan GES ISTerre'!AR6/'Bilan GES ISTerre'!$AR$40,"")</f>
        <v/>
      </c>
      <c r="K7" s="224" t="str">
        <f>IFERROR('Bilan GES ISTerre'!AW6/'Bilan GES ISTerre'!$AW$40,"")</f>
        <v/>
      </c>
      <c r="L7" s="225" t="str">
        <f>IFERROR('Bilan GES ISTerre'!BB6/'Bilan GES ISTerre'!$BB$40,"")</f>
        <v/>
      </c>
    </row>
    <row r="8" spans="1:12" ht="19.350000000000001" customHeight="1">
      <c r="A8" s="680" t="s">
        <v>50</v>
      </c>
      <c r="B8" s="669"/>
      <c r="C8" s="226">
        <f>IFERROR('Bilan GES ISTerre'!I7/'Bilan GES ISTerre'!I$40,"")</f>
        <v>6.084205420285517E-2</v>
      </c>
      <c r="D8" s="227">
        <f>IFERROR('Bilan GES ISTerre'!N7/'Bilan GES ISTerre'!$N$40,"")</f>
        <v>1.7292163310677389E-2</v>
      </c>
      <c r="E8" s="227">
        <f>IFERROR('Bilan GES ISTerre'!S7/'Bilan GES ISTerre'!$S$40,"")</f>
        <v>8.5687126080566639E-2</v>
      </c>
      <c r="F8" s="227">
        <f>IFERROR('Bilan GES ISTerre'!X7/'Bilan GES ISTerre'!$X$40,"")</f>
        <v>0.81049336858819754</v>
      </c>
      <c r="G8" s="228" t="str">
        <f>IFERROR('Bilan GES ISTerre'!AC7/'Bilan GES ISTerre'!$AC$40,"")</f>
        <v/>
      </c>
      <c r="H8" s="228" t="str">
        <f>IFERROR('Bilan GES ISTerre'!AH7/'Bilan GES ISTerre'!AH$40,"")</f>
        <v/>
      </c>
      <c r="I8" s="228" t="str">
        <f>IFERROR('Bilan GES ISTerre'!AM7/'Bilan GES ISTerre'!$AM$40,"")</f>
        <v/>
      </c>
      <c r="J8" s="228" t="str">
        <f>IFERROR('Bilan GES ISTerre'!AR7/'Bilan GES ISTerre'!$AR$40,"")</f>
        <v/>
      </c>
      <c r="K8" s="228" t="str">
        <f>IFERROR('Bilan GES ISTerre'!AW7/'Bilan GES ISTerre'!$AW$40,"")</f>
        <v/>
      </c>
      <c r="L8" s="229" t="str">
        <f>IFERROR('Bilan GES ISTerre'!BB7/'Bilan GES ISTerre'!$BB$40,"")</f>
        <v/>
      </c>
    </row>
    <row r="9" spans="1:12" ht="30.6" customHeight="1">
      <c r="A9" s="675" t="s">
        <v>205</v>
      </c>
      <c r="B9" s="676"/>
      <c r="C9" s="230">
        <f>IFERROR('Bilan GES ISTerre'!I11/'Bilan GES ISTerre'!I$40,"")</f>
        <v>0.27939322607895128</v>
      </c>
      <c r="D9" s="231">
        <f>IFERROR('Bilan GES ISTerre'!N11/'Bilan GES ISTerre'!N$40,"")</f>
        <v>9.2623677470275792E-2</v>
      </c>
      <c r="E9" s="231">
        <f>IFERROR('Bilan GES ISTerre'!S11/'Bilan GES ISTerre'!S$40,"")</f>
        <v>5.4840866202220508E-4</v>
      </c>
      <c r="F9" s="231">
        <f>IFERROR('Bilan GES ISTerre'!X11/'Bilan GES ISTerre'!X$40,"")</f>
        <v>0</v>
      </c>
      <c r="G9" s="232" t="str">
        <f>IFERROR('Bilan GES ISTerre'!AC11/'Bilan GES ISTerre'!AC$40,"")</f>
        <v/>
      </c>
      <c r="H9" s="232" t="str">
        <f>IFERROR('Bilan GES ISTerre'!AH11/'Bilan GES ISTerre'!AH$40,"")</f>
        <v/>
      </c>
      <c r="I9" s="232" t="str">
        <f>IFERROR('Bilan GES ISTerre'!AM11/'Bilan GES ISTerre'!AM$40,"")</f>
        <v/>
      </c>
      <c r="J9" s="232" t="str">
        <f>IFERROR('Bilan GES ISTerre'!AR11/'Bilan GES ISTerre'!AR$40,"")</f>
        <v/>
      </c>
      <c r="K9" s="232" t="str">
        <f>IFERROR('Bilan GES ISTerre'!AW11/'Bilan GES ISTerre'!AW$40,"")</f>
        <v/>
      </c>
      <c r="L9" s="233" t="str">
        <f>IFERROR('Bilan GES ISTerre'!BB11/'Bilan GES ISTerre'!BB$40,"")</f>
        <v/>
      </c>
    </row>
    <row r="10" spans="1:12" ht="30.45" customHeight="1">
      <c r="A10" s="661" t="s">
        <v>54</v>
      </c>
      <c r="B10" s="662"/>
      <c r="C10" s="218">
        <f>IFERROR('Bilan GES ISTerre'!I9/'Bilan GES ISTerre'!I$40,"")</f>
        <v>5.402276415283111E-2</v>
      </c>
      <c r="D10" s="219">
        <f>IFERROR('Bilan GES ISTerre'!N9/'Bilan GES ISTerre'!$N$40,"")</f>
        <v>1.4468880794807267E-2</v>
      </c>
      <c r="E10" s="219">
        <f>IFERROR('Bilan GES ISTerre'!S9/'Bilan GES ISTerre'!$S$40,"")</f>
        <v>5.4840866202220508E-4</v>
      </c>
      <c r="F10" s="219">
        <f>IFERROR('Bilan GES ISTerre'!X9/'Bilan GES ISTerre'!$X$40,"")</f>
        <v>0</v>
      </c>
      <c r="G10" s="220" t="str">
        <f>IFERROR('Bilan GES ISTerre'!AC9/'Bilan GES ISTerre'!$AC$40,"")</f>
        <v/>
      </c>
      <c r="H10" s="220" t="str">
        <f>IFERROR('Bilan GES ISTerre'!AH9/'Bilan GES ISTerre'!AH$40,"")</f>
        <v/>
      </c>
      <c r="I10" s="220" t="str">
        <f>IFERROR('Bilan GES ISTerre'!AM9/'Bilan GES ISTerre'!$AM$40,"")</f>
        <v/>
      </c>
      <c r="J10" s="220" t="str">
        <f>IFERROR('Bilan GES ISTerre'!AR9/'Bilan GES ISTerre'!$AR$40,"")</f>
        <v/>
      </c>
      <c r="K10" s="220" t="str">
        <f>IFERROR('Bilan GES ISTerre'!AW9/'Bilan GES ISTerre'!$AW$40,"")</f>
        <v/>
      </c>
      <c r="L10" s="221" t="str">
        <f>IFERROR('Bilan GES ISTerre'!BB9/'Bilan GES ISTerre'!$BB$40,"")</f>
        <v/>
      </c>
    </row>
    <row r="11" spans="1:12" ht="41.25" customHeight="1">
      <c r="A11" s="668" t="s">
        <v>56</v>
      </c>
      <c r="B11" s="669"/>
      <c r="C11" s="226">
        <f>IFERROR('Bilan GES ISTerre'!I10/'Bilan GES ISTerre'!I$40,"")</f>
        <v>0.22537046192612017</v>
      </c>
      <c r="D11" s="227">
        <f>IFERROR('Bilan GES ISTerre'!N10/'Bilan GES ISTerre'!$N$40,"")</f>
        <v>7.8154796675468527E-2</v>
      </c>
      <c r="E11" s="227">
        <f>IFERROR('Bilan GES ISTerre'!S10/'Bilan GES ISTerre'!$S$40,"")</f>
        <v>0</v>
      </c>
      <c r="F11" s="227">
        <f>IFERROR('Bilan GES ISTerre'!X10/'Bilan GES ISTerre'!$X$40,"")</f>
        <v>0</v>
      </c>
      <c r="G11" s="228" t="str">
        <f>IFERROR('Bilan GES ISTerre'!AC10/'Bilan GES ISTerre'!$AC$40,"")</f>
        <v/>
      </c>
      <c r="H11" s="228" t="str">
        <f>IFERROR('Bilan GES ISTerre'!AH10/'Bilan GES ISTerre'!AH$40,"")</f>
        <v/>
      </c>
      <c r="I11" s="228" t="str">
        <f>IFERROR('Bilan GES ISTerre'!AM10/'Bilan GES ISTerre'!$AM$40,"")</f>
        <v/>
      </c>
      <c r="J11" s="228" t="str">
        <f>IFERROR('Bilan GES ISTerre'!AR10/'Bilan GES ISTerre'!$AR$40,"")</f>
        <v/>
      </c>
      <c r="K11" s="228" t="str">
        <f>IFERROR('Bilan GES ISTerre'!AW10/'Bilan GES ISTerre'!$AW$40,"")</f>
        <v/>
      </c>
      <c r="L11" s="229" t="str">
        <f>IFERROR('Bilan GES ISTerre'!BB10/'Bilan GES ISTerre'!$BB$40,"")</f>
        <v/>
      </c>
    </row>
    <row r="12" spans="1:12" ht="30.6" customHeight="1">
      <c r="A12" s="677" t="s">
        <v>206</v>
      </c>
      <c r="B12" s="676"/>
      <c r="C12" s="230">
        <f>IFERROR('Bilan GES ISTerre'!I38/'Bilan GES ISTerre'!I$40,"")</f>
        <v>0.6597647197181935</v>
      </c>
      <c r="D12" s="231">
        <f>IFERROR('Bilan GES ISTerre'!N38/'Bilan GES ISTerre'!N$40,"")</f>
        <v>0.87879769929842366</v>
      </c>
      <c r="E12" s="231">
        <f>IFERROR('Bilan GES ISTerre'!S38/'Bilan GES ISTerre'!S$40,"")</f>
        <v>0.86008688660338528</v>
      </c>
      <c r="F12" s="231">
        <f>IFERROR('Bilan GES ISTerre'!X38/'Bilan GES ISTerre'!X$40,"")</f>
        <v>0.18950663141180241</v>
      </c>
      <c r="G12" s="232" t="str">
        <f>IFERROR('Bilan GES ISTerre'!AC38/'Bilan GES ISTerre'!AC$40,"")</f>
        <v/>
      </c>
      <c r="H12" s="232" t="str">
        <f>IFERROR('Bilan GES ISTerre'!AH38/'Bilan GES ISTerre'!AH$40,"")</f>
        <v/>
      </c>
      <c r="I12" s="232" t="str">
        <f>IFERROR('Bilan GES ISTerre'!AM38/'Bilan GES ISTerre'!AM$40,"")</f>
        <v/>
      </c>
      <c r="J12" s="232" t="str">
        <f>IFERROR('Bilan GES ISTerre'!AR38/'Bilan GES ISTerre'!AR$40,"")</f>
        <v/>
      </c>
      <c r="K12" s="232" t="str">
        <f>IFERROR('Bilan GES ISTerre'!AW38/'Bilan GES ISTerre'!AW$40,"")</f>
        <v/>
      </c>
      <c r="L12" s="233" t="str">
        <f>IFERROR('Bilan GES ISTerre'!BB38/'Bilan GES ISTerre'!BB$40,"")</f>
        <v/>
      </c>
    </row>
    <row r="13" spans="1:12" ht="52.35" customHeight="1">
      <c r="A13" s="663" t="s">
        <v>207</v>
      </c>
      <c r="B13" s="662"/>
      <c r="C13" s="218">
        <f>IFERROR('Bilan GES ISTerre'!I15/'Bilan GES ISTerre'!I$40,"")</f>
        <v>7.8060829883129013E-2</v>
      </c>
      <c r="D13" s="219">
        <f>IFERROR('Bilan GES ISTerre'!N15/'Bilan GES ISTerre'!$N$40,"")</f>
        <v>2.7780645590508257E-2</v>
      </c>
      <c r="E13" s="219">
        <f>IFERROR('Bilan GES ISTerre'!S15/'Bilan GES ISTerre'!$S$40,"")</f>
        <v>1.4338227004991259E-2</v>
      </c>
      <c r="F13" s="219">
        <f>IFERROR('Bilan GES ISTerre'!X15/'Bilan GES ISTerre'!$X$40,"")</f>
        <v>0</v>
      </c>
      <c r="G13" s="220" t="str">
        <f>IFERROR('Bilan GES ISTerre'!AC15/'Bilan GES ISTerre'!$AC$40,"")</f>
        <v/>
      </c>
      <c r="H13" s="220" t="str">
        <f>IFERROR('Bilan GES ISTerre'!AH15/'Bilan GES ISTerre'!AH$40,"")</f>
        <v/>
      </c>
      <c r="I13" s="220" t="str">
        <f>IFERROR('Bilan GES ISTerre'!AM15/'Bilan GES ISTerre'!$AM$40,"")</f>
        <v/>
      </c>
      <c r="J13" s="220" t="str">
        <f>IFERROR('Bilan GES ISTerre'!AR15/'Bilan GES ISTerre'!$AR$40,"")</f>
        <v/>
      </c>
      <c r="K13" s="220" t="str">
        <f>IFERROR('Bilan GES ISTerre'!AW15/'Bilan GES ISTerre'!$AW$40,"")</f>
        <v/>
      </c>
      <c r="L13" s="221" t="str">
        <f>IFERROR('Bilan GES ISTerre'!BB15/'Bilan GES ISTerre'!$BB$40,"")</f>
        <v/>
      </c>
    </row>
    <row r="14" spans="1:12" ht="18.899999999999999" customHeight="1">
      <c r="A14" s="664" t="s">
        <v>62</v>
      </c>
      <c r="B14" s="507"/>
      <c r="C14" s="222">
        <f>IFERROR('Bilan GES ISTerre'!I18/'Bilan GES ISTerre'!I$40,"")</f>
        <v>2.3964921964662246E-2</v>
      </c>
      <c r="D14" s="223">
        <f>IFERROR('Bilan GES ISTerre'!N18/'Bilan GES ISTerre'!$N$40,"")</f>
        <v>6.0071095132335939E-2</v>
      </c>
      <c r="E14" s="223">
        <f>IFERROR('Bilan GES ISTerre'!S18/'Bilan GES ISTerre'!$S$40,"")</f>
        <v>3.3751084127606426E-2</v>
      </c>
      <c r="F14" s="223">
        <f>IFERROR('Bilan GES ISTerre'!X18/'Bilan GES ISTerre'!$X$40,"")</f>
        <v>0</v>
      </c>
      <c r="G14" s="224" t="str">
        <f>IFERROR('Bilan GES ISTerre'!AC18/'Bilan GES ISTerre'!$AC$40,"")</f>
        <v/>
      </c>
      <c r="H14" s="224" t="str">
        <f>IFERROR('Bilan GES ISTerre'!AH18/'Bilan GES ISTerre'!AH$40,"")</f>
        <v/>
      </c>
      <c r="I14" s="224" t="str">
        <f>IFERROR('Bilan GES ISTerre'!AM18/'Bilan GES ISTerre'!$AM$40,"")</f>
        <v/>
      </c>
      <c r="J14" s="224" t="str">
        <f>IFERROR('Bilan GES ISTerre'!AR18/'Bilan GES ISTerre'!$AR$40,"")</f>
        <v/>
      </c>
      <c r="K14" s="224" t="str">
        <f>IFERROR('Bilan GES ISTerre'!AW18/'Bilan GES ISTerre'!$AW$40,"")</f>
        <v/>
      </c>
      <c r="L14" s="225" t="str">
        <f>IFERROR('Bilan GES ISTerre'!BB18/'Bilan GES ISTerre'!$BB$40,"")</f>
        <v/>
      </c>
    </row>
    <row r="15" spans="1:12" ht="18.899999999999999" customHeight="1">
      <c r="A15" s="664" t="s">
        <v>66</v>
      </c>
      <c r="B15" s="507"/>
      <c r="C15" s="222">
        <f>IFERROR('Bilan GES ISTerre'!I19/'Bilan GES ISTerre'!I$40,"")</f>
        <v>1.4225869312467658E-2</v>
      </c>
      <c r="D15" s="223">
        <f>IFERROR('Bilan GES ISTerre'!N19/'Bilan GES ISTerre'!$N$40,"")</f>
        <v>2.0369946333102847E-2</v>
      </c>
      <c r="E15" s="223">
        <f>IFERROR('Bilan GES ISTerre'!S19/'Bilan GES ISTerre'!$S$40,"")</f>
        <v>7.6576154911445482E-2</v>
      </c>
      <c r="F15" s="223">
        <f>IFERROR('Bilan GES ISTerre'!X19/'Bilan GES ISTerre'!$X$40,"")</f>
        <v>0.18950663141180241</v>
      </c>
      <c r="G15" s="224" t="str">
        <f>IFERROR('Bilan GES ISTerre'!AC19/'Bilan GES ISTerre'!$AC$40,"")</f>
        <v/>
      </c>
      <c r="H15" s="224" t="str">
        <f>IFERROR('Bilan GES ISTerre'!AH19/'Bilan GES ISTerre'!AH$40,"")</f>
        <v/>
      </c>
      <c r="I15" s="224" t="str">
        <f>IFERROR('Bilan GES ISTerre'!AM19/'Bilan GES ISTerre'!$AM$40,"")</f>
        <v/>
      </c>
      <c r="J15" s="224" t="str">
        <f>IFERROR('Bilan GES ISTerre'!AR19/'Bilan GES ISTerre'!$AR$40,"")</f>
        <v/>
      </c>
      <c r="K15" s="224" t="str">
        <f>IFERROR('Bilan GES ISTerre'!AW19/'Bilan GES ISTerre'!$AW$40,"")</f>
        <v/>
      </c>
      <c r="L15" s="225" t="str">
        <f>IFERROR('Bilan GES ISTerre'!BB19/'Bilan GES ISTerre'!$BB$40,"")</f>
        <v/>
      </c>
    </row>
    <row r="16" spans="1:12" ht="18.899999999999999" customHeight="1">
      <c r="A16" s="664" t="s">
        <v>68</v>
      </c>
      <c r="B16" s="507"/>
      <c r="C16" s="222">
        <f>IFERROR('Bilan GES ISTerre'!I25/'Bilan GES ISTerre'!I$40,"")</f>
        <v>0</v>
      </c>
      <c r="D16" s="223">
        <f>IFERROR('Bilan GES ISTerre'!N25/'Bilan GES ISTerre'!$N$40,"")</f>
        <v>0.61665983035596028</v>
      </c>
      <c r="E16" s="223">
        <f>IFERROR('Bilan GES ISTerre'!S25/'Bilan GES ISTerre'!$S$40,"")</f>
        <v>0</v>
      </c>
      <c r="F16" s="223">
        <f>IFERROR('Bilan GES ISTerre'!X25/'Bilan GES ISTerre'!$X$40,"")</f>
        <v>0</v>
      </c>
      <c r="G16" s="224" t="str">
        <f>IFERROR('Bilan GES ISTerre'!AC25/'Bilan GES ISTerre'!$AC$40,"")</f>
        <v/>
      </c>
      <c r="H16" s="224" t="str">
        <f>IFERROR('Bilan GES ISTerre'!AH25/'Bilan GES ISTerre'!AH$40,"")</f>
        <v/>
      </c>
      <c r="I16" s="224" t="str">
        <f>IFERROR('Bilan GES ISTerre'!AM25/'Bilan GES ISTerre'!$AM$40,"")</f>
        <v/>
      </c>
      <c r="J16" s="224" t="str">
        <f>IFERROR('Bilan GES ISTerre'!AR25/'Bilan GES ISTerre'!$AR$40,"")</f>
        <v/>
      </c>
      <c r="K16" s="224" t="str">
        <f>IFERROR('Bilan GES ISTerre'!AW25/'Bilan GES ISTerre'!$AW$40,"")</f>
        <v/>
      </c>
      <c r="L16" s="225" t="str">
        <f>IFERROR('Bilan GES ISTerre'!BB25/'Bilan GES ISTerre'!$BB$40,"")</f>
        <v/>
      </c>
    </row>
    <row r="17" spans="1:12" ht="19.95" customHeight="1">
      <c r="A17" s="665" t="s">
        <v>75</v>
      </c>
      <c r="B17" s="504"/>
      <c r="C17" s="234">
        <f>IFERROR('Bilan GES ISTerre'!I37/'Bilan GES ISTerre'!I$40,"")</f>
        <v>0.54351309855793462</v>
      </c>
      <c r="D17" s="235">
        <f>IFERROR('Bilan GES ISTerre'!N37/'Bilan GES ISTerre'!$N$40,"")</f>
        <v>0.15391618188651632</v>
      </c>
      <c r="E17" s="235">
        <f>IFERROR('Bilan GES ISTerre'!S37/'Bilan GES ISTerre'!$S$40,"")</f>
        <v>0.73542142055934201</v>
      </c>
      <c r="F17" s="235">
        <f>IFERROR('Bilan GES ISTerre'!X37/'Bilan GES ISTerre'!$X$40,"")</f>
        <v>0</v>
      </c>
      <c r="G17" s="236" t="str">
        <f>IFERROR('Bilan GES ISTerre'!AC37/'Bilan GES ISTerre'!$AC$40,"")</f>
        <v/>
      </c>
      <c r="H17" s="236" t="str">
        <f>IFERROR('Bilan GES ISTerre'!AH37/'Bilan GES ISTerre'!AH$40,"")</f>
        <v/>
      </c>
      <c r="I17" s="236" t="str">
        <f>IFERROR('Bilan GES ISTerre'!AM37/'Bilan GES ISTerre'!$AM$40,"")</f>
        <v/>
      </c>
      <c r="J17" s="236" t="str">
        <f>IFERROR('Bilan GES ISTerre'!AR37/'Bilan GES ISTerre'!$AR$40,"")</f>
        <v/>
      </c>
      <c r="K17" s="236" t="str">
        <f>IFERROR('Bilan GES ISTerre'!AW37/'Bilan GES ISTerre'!$AW$40,"")</f>
        <v/>
      </c>
      <c r="L17" s="237" t="str">
        <f>IFERROR('Bilan GES ISTerre'!BB37/'Bilan GES ISTerre'!$BB$40,"")</f>
        <v/>
      </c>
    </row>
    <row r="18" spans="1:12" ht="20.7" customHeight="1">
      <c r="A18" s="371"/>
      <c r="B18" s="371"/>
      <c r="C18" s="238"/>
      <c r="D18" s="238"/>
      <c r="E18" s="238"/>
      <c r="F18" s="238"/>
      <c r="G18" s="238"/>
      <c r="H18" s="238"/>
      <c r="I18" s="238"/>
      <c r="J18" s="238"/>
      <c r="K18" s="238"/>
      <c r="L18" s="238"/>
    </row>
    <row r="19" spans="1:12" ht="30.75" customHeight="1">
      <c r="A19" s="239" t="s">
        <v>208</v>
      </c>
      <c r="B19" s="240" t="s">
        <v>209</v>
      </c>
      <c r="C19" s="67">
        <f>SUM('Consommation Électricité'!B3:B4)/SUM('Infos ISTerre'!$B$3,'Infos ISTerre'!$B$8,'Infos ISTerre'!$C$8)</f>
        <v>99.336763774540842</v>
      </c>
      <c r="D19" s="68">
        <f>SUM('Consommation Électricité'!C3:C4)/SUM('Infos ISTerre'!$B$3,'Infos ISTerre'!$B$8,'Infos ISTerre'!$C$8)</f>
        <v>95.428410341929407</v>
      </c>
      <c r="E19" s="68">
        <f>SUM('Consommation Électricité'!D3:D4)/SUM('Infos ISTerre'!$B$3,'Infos ISTerre'!$B$8,'Infos ISTerre'!$C$8)</f>
        <v>0</v>
      </c>
      <c r="F19" s="68">
        <f>SUM('Consommation Électricité'!E3:E4)/SUM('Infos ISTerre'!$B$3,'Infos ISTerre'!$B$8,'Infos ISTerre'!$C$8)</f>
        <v>0</v>
      </c>
      <c r="G19" s="68">
        <f>SUM('Consommation Électricité'!F3:F4)/SUM('Infos ISTerre'!$B$3,'Infos ISTerre'!$B$8,'Infos ISTerre'!$C$8)</f>
        <v>0</v>
      </c>
      <c r="H19" s="68">
        <f>SUM('Consommation Électricité'!G3:G4)/SUM('Infos ISTerre'!$B$3,'Infos ISTerre'!$B$8,'Infos ISTerre'!$C$8)</f>
        <v>0</v>
      </c>
      <c r="I19" s="68">
        <f>SUM('Consommation Électricité'!H3:H4)/SUM('Infos ISTerre'!$B$3,'Infos ISTerre'!$B$8,'Infos ISTerre'!$C$8)</f>
        <v>0</v>
      </c>
      <c r="J19" s="68">
        <f>SUM('Consommation Électricité'!I3:I4)/SUM('Infos ISTerre'!$B$3,'Infos ISTerre'!$B$8,'Infos ISTerre'!$C$8)</f>
        <v>0</v>
      </c>
      <c r="K19" s="68">
        <f>SUM('Consommation Électricité'!J3:J4)/SUM('Infos ISTerre'!$B$3,'Infos ISTerre'!$B$8,'Infos ISTerre'!$C$8)</f>
        <v>0</v>
      </c>
      <c r="L19" s="69">
        <f>SUM('Consommation Électricité'!K3:K4)/SUM('Infos ISTerre'!$B$3,'Infos ISTerre'!$B$8,'Infos ISTerre'!$C$8)</f>
        <v>0</v>
      </c>
    </row>
    <row r="20" spans="1:12" ht="30" customHeight="1">
      <c r="A20" s="241" t="s">
        <v>210</v>
      </c>
      <c r="B20" s="242" t="s">
        <v>209</v>
      </c>
      <c r="C20" s="73">
        <f>SUM('Consommation Gaz'!B15,'Consommation Gaz'!B22,'Consommation Gaz'!B23)/SUM('Infos ISTerre'!$B$3,'Infos ISTerre'!$B$8,'Infos ISTerre'!$C$8)</f>
        <v>63.909199779362147</v>
      </c>
      <c r="D20" s="74">
        <f>SUM('Consommation Gaz'!C15,'Consommation Gaz'!C22,'Consommation Gaz'!C23)/SUM('Infos ISTerre'!$B$3,'Infos ISTerre'!$B$8,'Infos ISTerre'!$C$8)</f>
        <v>77.978802695515768</v>
      </c>
      <c r="E20" s="74">
        <f>SUM('Consommation Gaz'!D15,'Consommation Gaz'!D22,'Consommation Gaz'!D23)/SUM('Infos ISTerre'!$B$3,'Infos ISTerre'!$B$8,'Infos ISTerre'!$C$8)</f>
        <v>0</v>
      </c>
      <c r="F20" s="74">
        <f>SUM('Consommation Gaz'!E15,'Consommation Gaz'!E22,'Consommation Gaz'!E23)/SUM('Infos ISTerre'!$B$3,'Infos ISTerre'!$B$8,'Infos ISTerre'!$C$8)</f>
        <v>0</v>
      </c>
      <c r="G20" s="74">
        <f>SUM('Consommation Gaz'!F15,'Consommation Gaz'!F22,'Consommation Gaz'!F23)/SUM('Infos ISTerre'!$B$3,'Infos ISTerre'!$B$8,'Infos ISTerre'!$C$8)</f>
        <v>0</v>
      </c>
      <c r="H20" s="74">
        <f>SUM('Consommation Gaz'!G15,'Consommation Gaz'!G22,'Consommation Gaz'!G23)/SUM('Infos ISTerre'!$B$3,'Infos ISTerre'!$B$8,'Infos ISTerre'!$C$8)</f>
        <v>0</v>
      </c>
      <c r="I20" s="74">
        <f>SUM('Consommation Gaz'!H15,'Consommation Gaz'!H22,'Consommation Gaz'!H23)/SUM('Infos ISTerre'!$B$3,'Infos ISTerre'!$B$8,'Infos ISTerre'!$C$8)</f>
        <v>0</v>
      </c>
      <c r="J20" s="74">
        <f>SUM('Consommation Gaz'!I15,'Consommation Gaz'!I22,'Consommation Gaz'!I23)/SUM('Infos ISTerre'!$B$3,'Infos ISTerre'!$B$8,'Infos ISTerre'!$C$8)</f>
        <v>0</v>
      </c>
      <c r="K20" s="74">
        <f>SUM('Consommation Gaz'!J15,'Consommation Gaz'!J22,'Consommation Gaz'!J23)/SUM('Infos ISTerre'!$B$3,'Infos ISTerre'!$B$8,'Infos ISTerre'!$C$8)</f>
        <v>0</v>
      </c>
      <c r="L20" s="75">
        <f>SUM('Consommation Gaz'!K15,'Consommation Gaz'!K22,'Consommation Gaz'!K23)/SUM('Infos ISTerre'!$B$3,'Infos ISTerre'!$B$8,'Infos ISTerre'!$C$8)</f>
        <v>0</v>
      </c>
    </row>
    <row r="21" spans="1:12" ht="41.85" customHeight="1">
      <c r="A21" s="243" t="s">
        <v>211</v>
      </c>
      <c r="B21" s="244" t="s">
        <v>95</v>
      </c>
      <c r="C21" s="79">
        <f>IFERROR(SUM('Consommation Gaz'!B15+SUM('Consommation Gaz'!B22:B23))*2500/'Consommation Gaz'!B16,"")</f>
        <v>462054.15041947266</v>
      </c>
      <c r="D21" s="80">
        <f>IFERROR(SUM('Consommation Gaz'!C15+SUM('Consommation Gaz'!C22:C23))*2500/'Consommation Gaz'!C16,"")</f>
        <v>518872.85906539997</v>
      </c>
      <c r="E21" s="80">
        <f>IFERROR(SUM('Consommation Gaz'!D15+SUM('Consommation Gaz'!D22:D23))*2500/'Consommation Gaz'!D16,"")</f>
        <v>0</v>
      </c>
      <c r="F21" s="236" t="str">
        <f>IFERROR(SUM('Consommation Gaz'!E15+SUM('Consommation Gaz'!E22:E23))*2500/'Consommation Gaz'!E16,"")</f>
        <v/>
      </c>
      <c r="G21" s="236" t="str">
        <f>IFERROR(SUM('Consommation Gaz'!F15+SUM('Consommation Gaz'!F22:F23))*2500/'Consommation Gaz'!F16,"")</f>
        <v/>
      </c>
      <c r="H21" s="236" t="str">
        <f>IFERROR(SUM('Consommation Gaz'!G15+SUM('Consommation Gaz'!G22:G23))*2500/'Consommation Gaz'!G16,"")</f>
        <v/>
      </c>
      <c r="I21" s="236" t="str">
        <f>IFERROR(SUM('Consommation Gaz'!H15+SUM('Consommation Gaz'!H22:H23))*2500/'Consommation Gaz'!H16,"")</f>
        <v/>
      </c>
      <c r="J21" s="236" t="str">
        <f>IFERROR(SUM('Consommation Gaz'!I15+SUM('Consommation Gaz'!I22:I23))*2500/'Consommation Gaz'!I16,"")</f>
        <v/>
      </c>
      <c r="K21" s="236" t="str">
        <f>IFERROR(SUM('Consommation Gaz'!J15+SUM('Consommation Gaz'!J22:J23))*2500/'Consommation Gaz'!J16,"")</f>
        <v/>
      </c>
      <c r="L21" s="237" t="str">
        <f>IFERROR(SUM('Consommation Gaz'!K15+SUM('Consommation Gaz'!K22:K23))*2500/'Consommation Gaz'!K16,"")</f>
        <v/>
      </c>
    </row>
    <row r="22" spans="1:12" ht="23.7" customHeight="1">
      <c r="A22" s="667"/>
      <c r="B22" s="643"/>
      <c r="C22" s="245"/>
      <c r="D22" s="245"/>
      <c r="E22" s="245"/>
      <c r="F22" s="245"/>
      <c r="G22" s="245"/>
      <c r="H22" s="245"/>
      <c r="I22" s="245"/>
      <c r="J22" s="245"/>
      <c r="K22" s="245"/>
      <c r="L22" s="245"/>
    </row>
    <row r="23" spans="1:12" ht="42.6" customHeight="1">
      <c r="A23" s="666" t="s">
        <v>212</v>
      </c>
      <c r="B23" s="511"/>
      <c r="C23" s="205">
        <v>2016</v>
      </c>
      <c r="D23" s="206">
        <v>2017</v>
      </c>
      <c r="E23" s="206">
        <v>2018</v>
      </c>
      <c r="F23" s="206">
        <v>2019</v>
      </c>
      <c r="G23" s="206">
        <v>2020</v>
      </c>
      <c r="H23" s="206">
        <v>2021</v>
      </c>
      <c r="I23" s="206">
        <v>2022</v>
      </c>
      <c r="J23" s="206">
        <v>2023</v>
      </c>
      <c r="K23" s="206">
        <v>2024</v>
      </c>
      <c r="L23" s="207">
        <v>2025</v>
      </c>
    </row>
    <row r="24" spans="1:12" ht="30.75" customHeight="1">
      <c r="A24" s="246" t="s">
        <v>213</v>
      </c>
      <c r="B24" s="247" t="s">
        <v>95</v>
      </c>
      <c r="C24" s="248">
        <f>IFERROR('Consommation Électricité'!B3/'Consommation Électricité'!B$8,"")</f>
        <v>0.82777576661669094</v>
      </c>
      <c r="D24" s="249">
        <f>IFERROR('Consommation Électricité'!C3/'Consommation Électricité'!C$8,"")</f>
        <v>0.33225279640381883</v>
      </c>
      <c r="E24" s="249">
        <f>IFERROR('Consommation Électricité'!D3/'Consommation Électricité'!D$8,"")</f>
        <v>0</v>
      </c>
      <c r="F24" s="249">
        <f>IFERROR('Consommation Électricité'!E3/'Consommation Électricité'!E$8,"")</f>
        <v>0</v>
      </c>
      <c r="G24" s="250" t="str">
        <f>IFERROR('Consommation Électricité'!F3/'Consommation Électricité'!F$8,"")</f>
        <v/>
      </c>
      <c r="H24" s="250" t="str">
        <f>IFERROR('Consommation Électricité'!G3/'Consommation Électricité'!G$8,"")</f>
        <v/>
      </c>
      <c r="I24" s="250" t="str">
        <f>IFERROR('Consommation Électricité'!H3/'Consommation Électricité'!H$8,"")</f>
        <v/>
      </c>
      <c r="J24" s="250" t="str">
        <f>IFERROR('Consommation Électricité'!I3/'Consommation Électricité'!I$8,"")</f>
        <v/>
      </c>
      <c r="K24" s="250" t="str">
        <f>IFERROR('Consommation Électricité'!J3/'Consommation Électricité'!J$8,"")</f>
        <v/>
      </c>
      <c r="L24" s="251" t="str">
        <f>IFERROR('Consommation Électricité'!K3/'Consommation Électricité'!K$8,"")</f>
        <v/>
      </c>
    </row>
    <row r="25" spans="1:12" ht="30" customHeight="1">
      <c r="A25" s="252" t="s">
        <v>214</v>
      </c>
      <c r="B25" s="253" t="s">
        <v>95</v>
      </c>
      <c r="C25" s="222">
        <f>IFERROR('Consommation Électricité'!B4/'Consommation Électricité'!B$8,"")</f>
        <v>0</v>
      </c>
      <c r="D25" s="223">
        <f>IFERROR('Consommation Électricité'!C4/'Consommation Électricité'!C$8,"")</f>
        <v>1.7523975972227962E-2</v>
      </c>
      <c r="E25" s="223">
        <f>IFERROR('Consommation Électricité'!D4/'Consommation Électricité'!D$8,"")</f>
        <v>0</v>
      </c>
      <c r="F25" s="223">
        <f>IFERROR('Consommation Électricité'!E4/'Consommation Électricité'!E$8,"")</f>
        <v>0</v>
      </c>
      <c r="G25" s="224" t="str">
        <f>IFERROR('Consommation Électricité'!F4/'Consommation Électricité'!F$8,"")</f>
        <v/>
      </c>
      <c r="H25" s="224" t="str">
        <f>IFERROR('Consommation Électricité'!G4/'Consommation Électricité'!G$8,"")</f>
        <v/>
      </c>
      <c r="I25" s="224" t="str">
        <f>IFERROR('Consommation Électricité'!H4/'Consommation Électricité'!H$8,"")</f>
        <v/>
      </c>
      <c r="J25" s="224" t="str">
        <f>IFERROR('Consommation Électricité'!I4/'Consommation Électricité'!I$8,"")</f>
        <v/>
      </c>
      <c r="K25" s="224" t="str">
        <f>IFERROR('Consommation Électricité'!J4/'Consommation Électricité'!J$8,"")</f>
        <v/>
      </c>
      <c r="L25" s="225" t="str">
        <f>IFERROR('Consommation Électricité'!K4/'Consommation Électricité'!K$8,"")</f>
        <v/>
      </c>
    </row>
    <row r="26" spans="1:12" ht="30" customHeight="1">
      <c r="A26" s="252" t="s">
        <v>215</v>
      </c>
      <c r="B26" s="253" t="s">
        <v>95</v>
      </c>
      <c r="C26" s="222">
        <f>IFERROR('Consommation Électricité'!B5/'Consommation Électricité'!B$8,"")</f>
        <v>5.200884383606592E-3</v>
      </c>
      <c r="D26" s="223">
        <f>IFERROR('Consommation Électricité'!C5/'Consommation Électricité'!C$8,"")</f>
        <v>2.2876404923136708E-3</v>
      </c>
      <c r="E26" s="223">
        <f>IFERROR('Consommation Électricité'!D5/'Consommation Électricité'!D$8,"")</f>
        <v>3.0198330870379316E-2</v>
      </c>
      <c r="F26" s="223">
        <f>IFERROR('Consommation Électricité'!E5/'Consommation Électricité'!E$8,"")</f>
        <v>8.6047293792964705E-2</v>
      </c>
      <c r="G26" s="224" t="str">
        <f>IFERROR('Consommation Électricité'!F5/'Consommation Électricité'!F$8,"")</f>
        <v/>
      </c>
      <c r="H26" s="224" t="str">
        <f>IFERROR('Consommation Électricité'!G5/'Consommation Électricité'!G$8,"")</f>
        <v/>
      </c>
      <c r="I26" s="224" t="str">
        <f>IFERROR('Consommation Électricité'!H5/'Consommation Électricité'!H$8,"")</f>
        <v/>
      </c>
      <c r="J26" s="224" t="str">
        <f>IFERROR('Consommation Électricité'!I5/'Consommation Électricité'!I$8,"")</f>
        <v/>
      </c>
      <c r="K26" s="224" t="str">
        <f>IFERROR('Consommation Électricité'!J5/'Consommation Électricité'!J$8,"")</f>
        <v/>
      </c>
      <c r="L26" s="225" t="str">
        <f>IFERROR('Consommation Électricité'!K5/'Consommation Électricité'!K$8,"")</f>
        <v/>
      </c>
    </row>
    <row r="27" spans="1:12" ht="30" customHeight="1">
      <c r="A27" s="252" t="s">
        <v>216</v>
      </c>
      <c r="B27" s="253" t="s">
        <v>95</v>
      </c>
      <c r="C27" s="222">
        <f>IFERROR('Consommation Électricité'!B6/'Consommation Électricité'!B$8,"")</f>
        <v>0.16702334899970242</v>
      </c>
      <c r="D27" s="223">
        <f>IFERROR('Consommation Électricité'!C6/'Consommation Électricité'!C$8,"")</f>
        <v>0.1440975669827991</v>
      </c>
      <c r="E27" s="223">
        <f>IFERROR('Consommation Électricité'!D6/'Consommation Électricité'!D$8,"")</f>
        <v>0.96980166912962074</v>
      </c>
      <c r="F27" s="223">
        <f>IFERROR('Consommation Électricité'!E6/'Consommation Électricité'!E$8,"")</f>
        <v>0.91395270620703528</v>
      </c>
      <c r="G27" s="224" t="str">
        <f>IFERROR('Consommation Électricité'!F6/'Consommation Électricité'!F$8,"")</f>
        <v/>
      </c>
      <c r="H27" s="224" t="str">
        <f>IFERROR('Consommation Électricité'!G6/'Consommation Électricité'!G$8,"")</f>
        <v/>
      </c>
      <c r="I27" s="224" t="str">
        <f>IFERROR('Consommation Électricité'!H6/'Consommation Électricité'!H$8,"")</f>
        <v/>
      </c>
      <c r="J27" s="224" t="str">
        <f>IFERROR('Consommation Électricité'!I6/'Consommation Électricité'!I$8,"")</f>
        <v/>
      </c>
      <c r="K27" s="224" t="str">
        <f>IFERROR('Consommation Électricité'!J6/'Consommation Électricité'!J$8,"")</f>
        <v/>
      </c>
      <c r="L27" s="225" t="str">
        <f>IFERROR('Consommation Électricité'!K6/'Consommation Électricité'!K$8,"")</f>
        <v/>
      </c>
    </row>
    <row r="28" spans="1:12" ht="19.95" customHeight="1">
      <c r="A28" s="254" t="s">
        <v>217</v>
      </c>
      <c r="B28" s="255" t="s">
        <v>95</v>
      </c>
      <c r="C28" s="234">
        <f>IFERROR('Consommation Électricité'!B7/'Consommation Électricité'!B$8,"")</f>
        <v>0</v>
      </c>
      <c r="D28" s="235">
        <f>IFERROR('Consommation Électricité'!C7/'Consommation Électricité'!C$8,"")</f>
        <v>0.50383802014884049</v>
      </c>
      <c r="E28" s="235">
        <f>IFERROR('Consommation Électricité'!D7/'Consommation Électricité'!D$8,"")</f>
        <v>0</v>
      </c>
      <c r="F28" s="235">
        <f>IFERROR('Consommation Électricité'!E7/'Consommation Électricité'!E$8,"")</f>
        <v>0</v>
      </c>
      <c r="G28" s="236" t="str">
        <f>IFERROR('Consommation Électricité'!F7/'Consommation Électricité'!F$8,"")</f>
        <v/>
      </c>
      <c r="H28" s="236" t="str">
        <f>IFERROR('Consommation Électricité'!G7/'Consommation Électricité'!G$8,"")</f>
        <v/>
      </c>
      <c r="I28" s="236" t="str">
        <f>IFERROR('Consommation Électricité'!H7/'Consommation Électricité'!H$8,"")</f>
        <v/>
      </c>
      <c r="J28" s="236" t="str">
        <f>IFERROR('Consommation Électricité'!I7/'Consommation Électricité'!I$8,"")</f>
        <v/>
      </c>
      <c r="K28" s="236" t="str">
        <f>IFERROR('Consommation Électricité'!J7/'Consommation Électricité'!J$8,"")</f>
        <v/>
      </c>
      <c r="L28" s="237" t="str">
        <f>IFERROR('Consommation Électricité'!K7/'Consommation Électricité'!K$8,"")</f>
        <v/>
      </c>
    </row>
    <row r="29" spans="1:12" ht="20.7" customHeight="1">
      <c r="A29" s="256"/>
      <c r="B29" s="256"/>
      <c r="C29" s="257"/>
      <c r="D29" s="257"/>
      <c r="E29" s="257"/>
      <c r="F29" s="257"/>
      <c r="G29" s="374"/>
      <c r="H29" s="374"/>
      <c r="I29" s="374"/>
      <c r="J29" s="374"/>
      <c r="K29" s="374"/>
      <c r="L29" s="374"/>
    </row>
    <row r="30" spans="1:12" ht="23.7" customHeight="1">
      <c r="A30" s="666" t="s">
        <v>68</v>
      </c>
      <c r="B30" s="511"/>
      <c r="C30" s="205">
        <v>2016</v>
      </c>
      <c r="D30" s="206">
        <v>2017</v>
      </c>
      <c r="E30" s="206">
        <v>2018</v>
      </c>
      <c r="F30" s="206">
        <v>2019</v>
      </c>
      <c r="G30" s="206">
        <v>2020</v>
      </c>
      <c r="H30" s="206">
        <v>2021</v>
      </c>
      <c r="I30" s="206">
        <v>2022</v>
      </c>
      <c r="J30" s="206">
        <v>2023</v>
      </c>
      <c r="K30" s="206">
        <v>2024</v>
      </c>
      <c r="L30" s="207">
        <v>2025</v>
      </c>
    </row>
    <row r="31" spans="1:12" ht="19.95" customHeight="1">
      <c r="A31" s="368" t="s">
        <v>69</v>
      </c>
      <c r="B31" s="258" t="s">
        <v>218</v>
      </c>
      <c r="C31" s="67">
        <f>IFERROR('Déplacements professionnels'!B3/'Infos ISTerre'!B$15,"")</f>
        <v>0</v>
      </c>
      <c r="D31" s="68">
        <f>IFERROR('Déplacements professionnels'!C3/'Infos ISTerre'!C$15,"")</f>
        <v>938.71541501976287</v>
      </c>
      <c r="E31" s="68">
        <f>IFERROR('Déplacements professionnels'!D3/'Infos ISTerre'!D$15,"")</f>
        <v>0</v>
      </c>
      <c r="F31" s="250" t="str">
        <f>IFERROR('Déplacements professionnels'!E3/'Infos ISTerre'!E$15,"")</f>
        <v/>
      </c>
      <c r="G31" s="250" t="str">
        <f>IFERROR('Déplacements professionnels'!F3/'Infos ISTerre'!F$15,"")</f>
        <v/>
      </c>
      <c r="H31" s="250" t="str">
        <f>IFERROR('Déplacements professionnels'!G3/'Infos ISTerre'!G$15,"")</f>
        <v/>
      </c>
      <c r="I31" s="250" t="str">
        <f>IFERROR('Déplacements professionnels'!H3/'Infos ISTerre'!H$15,"")</f>
        <v/>
      </c>
      <c r="J31" s="250" t="str">
        <f>IFERROR('Déplacements professionnels'!I3/'Infos ISTerre'!I$15,"")</f>
        <v/>
      </c>
      <c r="K31" s="250" t="str">
        <f>IFERROR('Déplacements professionnels'!J3/'Infos ISTerre'!J$15,"")</f>
        <v/>
      </c>
      <c r="L31" s="251" t="str">
        <f>IFERROR('Déplacements professionnels'!K3/'Infos ISTerre'!K$15,"")</f>
        <v/>
      </c>
    </row>
    <row r="32" spans="1:12" ht="30" customHeight="1">
      <c r="A32" s="369" t="s">
        <v>219</v>
      </c>
      <c r="B32" s="259" t="s">
        <v>218</v>
      </c>
      <c r="C32" s="73">
        <f>IFERROR('Déplacements professionnels'!B4/'Infos ISTerre'!B$15,"")</f>
        <v>0</v>
      </c>
      <c r="D32" s="74">
        <f>IFERROR('Déplacements professionnels'!C4/'Infos ISTerre'!C$15,"")</f>
        <v>8678.00395256917</v>
      </c>
      <c r="E32" s="74">
        <f>IFERROR('Déplacements professionnels'!D4/'Infos ISTerre'!D$15,"")</f>
        <v>0</v>
      </c>
      <c r="F32" s="224" t="str">
        <f>IFERROR('Déplacements professionnels'!E4/'Infos ISTerre'!E$15,"")</f>
        <v/>
      </c>
      <c r="G32" s="224" t="str">
        <f>IFERROR('Déplacements professionnels'!F4/'Infos ISTerre'!F$15,"")</f>
        <v/>
      </c>
      <c r="H32" s="224" t="str">
        <f>IFERROR('Déplacements professionnels'!G4/'Infos ISTerre'!G$15,"")</f>
        <v/>
      </c>
      <c r="I32" s="224" t="str">
        <f>IFERROR('Déplacements professionnels'!H4/'Infos ISTerre'!H$15,"")</f>
        <v/>
      </c>
      <c r="J32" s="224" t="str">
        <f>IFERROR('Déplacements professionnels'!I4/'Infos ISTerre'!I$15,"")</f>
        <v/>
      </c>
      <c r="K32" s="224" t="str">
        <f>IFERROR('Déplacements professionnels'!J4/'Infos ISTerre'!J$15,"")</f>
        <v/>
      </c>
      <c r="L32" s="225" t="str">
        <f>IFERROR('Déplacements professionnels'!K4/'Infos ISTerre'!K$15,"")</f>
        <v/>
      </c>
    </row>
    <row r="33" spans="1:12" ht="30" customHeight="1">
      <c r="A33" s="369" t="s">
        <v>220</v>
      </c>
      <c r="B33" s="259" t="s">
        <v>218</v>
      </c>
      <c r="C33" s="73">
        <f>IFERROR('Déplacements professionnels'!B5/'Infos ISTerre'!B$15,"")</f>
        <v>0</v>
      </c>
      <c r="D33" s="74">
        <f>IFERROR('Déplacements professionnels'!C5/'Infos ISTerre'!C$15,"")</f>
        <v>1574.5375494071145</v>
      </c>
      <c r="E33" s="74">
        <f>IFERROR('Déplacements professionnels'!D5/'Infos ISTerre'!D$15,"")</f>
        <v>0</v>
      </c>
      <c r="F33" s="224" t="str">
        <f>IFERROR('Déplacements professionnels'!E5/'Infos ISTerre'!E$15,"")</f>
        <v/>
      </c>
      <c r="G33" s="224" t="str">
        <f>IFERROR('Déplacements professionnels'!F5/'Infos ISTerre'!F$15,"")</f>
        <v/>
      </c>
      <c r="H33" s="224" t="str">
        <f>IFERROR('Déplacements professionnels'!G5/'Infos ISTerre'!G$15,"")</f>
        <v/>
      </c>
      <c r="I33" s="224" t="str">
        <f>IFERROR('Déplacements professionnels'!H5/'Infos ISTerre'!H$15,"")</f>
        <v/>
      </c>
      <c r="J33" s="224" t="str">
        <f>IFERROR('Déplacements professionnels'!I5/'Infos ISTerre'!I$15,"")</f>
        <v/>
      </c>
      <c r="K33" s="224" t="str">
        <f>IFERROR('Déplacements professionnels'!J5/'Infos ISTerre'!J$15,"")</f>
        <v/>
      </c>
      <c r="L33" s="225" t="str">
        <f>IFERROR('Déplacements professionnels'!K5/'Infos ISTerre'!K$15,"")</f>
        <v/>
      </c>
    </row>
    <row r="34" spans="1:12" ht="18.899999999999999" customHeight="1">
      <c r="A34" s="369" t="s">
        <v>72</v>
      </c>
      <c r="B34" s="259" t="s">
        <v>218</v>
      </c>
      <c r="C34" s="73">
        <f>IFERROR('Déplacements professionnels'!B6/'Infos ISTerre'!B$15,"")</f>
        <v>0</v>
      </c>
      <c r="D34" s="74">
        <f>IFERROR('Déplacements professionnels'!C6/'Infos ISTerre'!C$15,"")</f>
        <v>962.395256916996</v>
      </c>
      <c r="E34" s="74">
        <f>IFERROR('Déplacements professionnels'!D6/'Infos ISTerre'!D$15,"")</f>
        <v>0</v>
      </c>
      <c r="F34" s="224" t="str">
        <f>IFERROR('Déplacements professionnels'!E6/'Infos ISTerre'!E$15,"")</f>
        <v/>
      </c>
      <c r="G34" s="224" t="str">
        <f>IFERROR('Déplacements professionnels'!F6/'Infos ISTerre'!F$15,"")</f>
        <v/>
      </c>
      <c r="H34" s="224" t="str">
        <f>IFERROR('Déplacements professionnels'!G6/'Infos ISTerre'!G$15,"")</f>
        <v/>
      </c>
      <c r="I34" s="224" t="str">
        <f>IFERROR('Déplacements professionnels'!H6/'Infos ISTerre'!H$15,"")</f>
        <v/>
      </c>
      <c r="J34" s="224" t="str">
        <f>IFERROR('Déplacements professionnels'!I6/'Infos ISTerre'!I$15,"")</f>
        <v/>
      </c>
      <c r="K34" s="224" t="str">
        <f>IFERROR('Déplacements professionnels'!J6/'Infos ISTerre'!J$15,"")</f>
        <v/>
      </c>
      <c r="L34" s="225" t="str">
        <f>IFERROR('Déplacements professionnels'!K6/'Infos ISTerre'!K$15,"")</f>
        <v/>
      </c>
    </row>
    <row r="35" spans="1:12" ht="19.95" customHeight="1">
      <c r="A35" s="370" t="s">
        <v>73</v>
      </c>
      <c r="B35" s="260" t="s">
        <v>218</v>
      </c>
      <c r="C35" s="79">
        <f>IFERROR('Déplacements professionnels'!B7/'Infos ISTerre'!B$15,"")</f>
        <v>0</v>
      </c>
      <c r="D35" s="80">
        <f>IFERROR('Déplacements professionnels'!C7/'Infos ISTerre'!C$15,"")</f>
        <v>302.81383399209483</v>
      </c>
      <c r="E35" s="80">
        <f>IFERROR('Déplacements professionnels'!D7/'Infos ISTerre'!D$15,"")</f>
        <v>0</v>
      </c>
      <c r="F35" s="236" t="str">
        <f>IFERROR('Déplacements professionnels'!E7/'Infos ISTerre'!E$15,"")</f>
        <v/>
      </c>
      <c r="G35" s="236" t="str">
        <f>IFERROR('Déplacements professionnels'!F7/'Infos ISTerre'!F$15,"")</f>
        <v/>
      </c>
      <c r="H35" s="236" t="str">
        <f>IFERROR('Déplacements professionnels'!G7/'Infos ISTerre'!G$15,"")</f>
        <v/>
      </c>
      <c r="I35" s="236" t="str">
        <f>IFERROR('Déplacements professionnels'!H7/'Infos ISTerre'!H$15,"")</f>
        <v/>
      </c>
      <c r="J35" s="236" t="str">
        <f>IFERROR('Déplacements professionnels'!I7/'Infos ISTerre'!I$15,"")</f>
        <v/>
      </c>
      <c r="K35" s="236" t="str">
        <f>IFERROR('Déplacements professionnels'!J7/'Infos ISTerre'!J$15,"")</f>
        <v/>
      </c>
      <c r="L35" s="237" t="str">
        <f>IFERROR('Déplacements professionnels'!K7/'Infos ISTerre'!K$15,"")</f>
        <v/>
      </c>
    </row>
    <row r="36" spans="1:12" ht="20.7" customHeight="1">
      <c r="A36" s="261"/>
      <c r="B36" s="261"/>
      <c r="C36" s="374"/>
      <c r="D36" s="374"/>
      <c r="E36" s="374"/>
      <c r="F36" s="374"/>
      <c r="G36" s="374"/>
      <c r="H36" s="374"/>
      <c r="I36" s="374"/>
      <c r="J36" s="374"/>
      <c r="K36" s="374"/>
      <c r="L36" s="374"/>
    </row>
    <row r="37" spans="1:12" ht="53.7" customHeight="1">
      <c r="A37" s="666" t="s">
        <v>221</v>
      </c>
      <c r="B37" s="511"/>
      <c r="C37" s="205">
        <v>2016</v>
      </c>
      <c r="D37" s="206">
        <v>2017</v>
      </c>
      <c r="E37" s="206">
        <v>2018</v>
      </c>
      <c r="F37" s="206">
        <v>2019</v>
      </c>
      <c r="G37" s="206">
        <v>2020</v>
      </c>
      <c r="H37" s="206">
        <v>2021</v>
      </c>
      <c r="I37" s="206">
        <v>2022</v>
      </c>
      <c r="J37" s="206">
        <v>2023</v>
      </c>
      <c r="K37" s="206">
        <v>2024</v>
      </c>
      <c r="L37" s="207">
        <v>2025</v>
      </c>
    </row>
    <row r="38" spans="1:12" ht="19.95" customHeight="1">
      <c r="A38" s="670" t="s">
        <v>76</v>
      </c>
      <c r="B38" s="514"/>
      <c r="C38" s="248">
        <f>IFERROR('Bilan GES ISTerre'!I26/'Bilan GES ISTerre'!$I$37,"")</f>
        <v>1.0242213709866706E-4</v>
      </c>
      <c r="D38" s="249">
        <f>IFERROR('Bilan GES ISTerre'!N26/'Bilan GES ISTerre'!$N$37,"")</f>
        <v>1.0298999616691565E-4</v>
      </c>
      <c r="E38" s="249">
        <f>IFERROR('Bilan GES ISTerre'!S26/'Bilan GES ISTerre'!$S$37,"")</f>
        <v>1.1031922031015049E-4</v>
      </c>
      <c r="F38" s="250" t="str">
        <f>IFERROR('Bilan GES ISTerre'!X26/'Bilan GES ISTerre'!$X$37,"")</f>
        <v/>
      </c>
      <c r="G38" s="250" t="str">
        <f>IFERROR('Bilan GES ISTerre'!AC26/'Bilan GES ISTerre'!$AC$37,"")</f>
        <v/>
      </c>
      <c r="H38" s="250" t="str">
        <f>IFERROR('Bilan GES ISTerre'!AH26/'Bilan GES ISTerre'!$AH$37,"")</f>
        <v/>
      </c>
      <c r="I38" s="250" t="str">
        <f>IFERROR('Bilan GES ISTerre'!AM26/'Bilan GES ISTerre'!$AM$37,"")</f>
        <v/>
      </c>
      <c r="J38" s="250" t="str">
        <f>IFERROR('Bilan GES ISTerre'!AR26/'Bilan GES ISTerre'!$AR$37,"")</f>
        <v/>
      </c>
      <c r="K38" s="250" t="str">
        <f>IFERROR('Bilan GES ISTerre'!AW26/'Bilan GES ISTerre'!$AW$37,"")</f>
        <v/>
      </c>
      <c r="L38" s="251" t="str">
        <f>IFERROR('Bilan GES ISTerre'!BB26/'Bilan GES ISTerre'!$BB$37,"")</f>
        <v/>
      </c>
    </row>
    <row r="39" spans="1:12" ht="18.899999999999999" customHeight="1">
      <c r="A39" s="659" t="s">
        <v>77</v>
      </c>
      <c r="B39" s="507"/>
      <c r="C39" s="222">
        <f>IFERROR('Bilan GES ISTerre'!I27/'Bilan GES ISTerre'!$I$37,"")</f>
        <v>0</v>
      </c>
      <c r="D39" s="223">
        <f>IFERROR('Bilan GES ISTerre'!N27/'Bilan GES ISTerre'!$N$37,"")</f>
        <v>0</v>
      </c>
      <c r="E39" s="223">
        <f>IFERROR('Bilan GES ISTerre'!S27/'Bilan GES ISTerre'!$S$37,"")</f>
        <v>0</v>
      </c>
      <c r="F39" s="224" t="str">
        <f>IFERROR('Bilan GES ISTerre'!X27/'Bilan GES ISTerre'!$X$37,"")</f>
        <v/>
      </c>
      <c r="G39" s="224" t="str">
        <f>IFERROR('Bilan GES ISTerre'!AC27/'Bilan GES ISTerre'!$AC$37,"")</f>
        <v/>
      </c>
      <c r="H39" s="224" t="str">
        <f>IFERROR('Bilan GES ISTerre'!AH27/'Bilan GES ISTerre'!$AH$37,"")</f>
        <v/>
      </c>
      <c r="I39" s="224" t="str">
        <f>IFERROR('Bilan GES ISTerre'!AM27/'Bilan GES ISTerre'!$AM$37,"")</f>
        <v/>
      </c>
      <c r="J39" s="224" t="str">
        <f>IFERROR('Bilan GES ISTerre'!AR27/'Bilan GES ISTerre'!$AR$37,"")</f>
        <v/>
      </c>
      <c r="K39" s="224" t="str">
        <f>IFERROR('Bilan GES ISTerre'!AW27/'Bilan GES ISTerre'!$AW$37,"")</f>
        <v/>
      </c>
      <c r="L39" s="225" t="str">
        <f>IFERROR('Bilan GES ISTerre'!BB27/'Bilan GES ISTerre'!$BB$37,"")</f>
        <v/>
      </c>
    </row>
    <row r="40" spans="1:12" ht="18.899999999999999" customHeight="1">
      <c r="A40" s="659" t="s">
        <v>78</v>
      </c>
      <c r="B40" s="507"/>
      <c r="C40" s="222">
        <f>IFERROR('Bilan GES ISTerre'!I28/'Bilan GES ISTerre'!$I$37,"")</f>
        <v>6.7141582815880018E-4</v>
      </c>
      <c r="D40" s="223">
        <f>IFERROR('Bilan GES ISTerre'!N28/'Bilan GES ISTerre'!$N$37,"")</f>
        <v>6.9328723964248555E-4</v>
      </c>
      <c r="E40" s="223">
        <f>IFERROR('Bilan GES ISTerre'!S28/'Bilan GES ISTerre'!$S$37,"")</f>
        <v>7.2571723847132002E-4</v>
      </c>
      <c r="F40" s="224" t="str">
        <f>IFERROR('Bilan GES ISTerre'!X28/'Bilan GES ISTerre'!$X$37,"")</f>
        <v/>
      </c>
      <c r="G40" s="224" t="str">
        <f>IFERROR('Bilan GES ISTerre'!AC28/'Bilan GES ISTerre'!$AC$37,"")</f>
        <v/>
      </c>
      <c r="H40" s="224" t="str">
        <f>IFERROR('Bilan GES ISTerre'!AH28/'Bilan GES ISTerre'!$AH$37,"")</f>
        <v/>
      </c>
      <c r="I40" s="224" t="str">
        <f>IFERROR('Bilan GES ISTerre'!AM28/'Bilan GES ISTerre'!$AM$37,"")</f>
        <v/>
      </c>
      <c r="J40" s="224" t="str">
        <f>IFERROR('Bilan GES ISTerre'!AR28/'Bilan GES ISTerre'!$AR$37,"")</f>
        <v/>
      </c>
      <c r="K40" s="224" t="str">
        <f>IFERROR('Bilan GES ISTerre'!AW28/'Bilan GES ISTerre'!$AW$37,"")</f>
        <v/>
      </c>
      <c r="L40" s="225" t="str">
        <f>IFERROR('Bilan GES ISTerre'!BB28/'Bilan GES ISTerre'!$BB$37,"")</f>
        <v/>
      </c>
    </row>
    <row r="41" spans="1:12" ht="18.899999999999999" customHeight="1">
      <c r="A41" s="659" t="s">
        <v>79</v>
      </c>
      <c r="B41" s="507"/>
      <c r="C41" s="222">
        <f>IFERROR('Bilan GES ISTerre'!I29/'Bilan GES ISTerre'!$I$37,"")</f>
        <v>0.23315413503066096</v>
      </c>
      <c r="D41" s="223">
        <f>IFERROR('Bilan GES ISTerre'!N29/'Bilan GES ISTerre'!$N$37,"")</f>
        <v>0.23741807881410276</v>
      </c>
      <c r="E41" s="223">
        <f>IFERROR('Bilan GES ISTerre'!S29/'Bilan GES ISTerre'!$S$37,"")</f>
        <v>0.23792383416616369</v>
      </c>
      <c r="F41" s="224" t="str">
        <f>IFERROR('Bilan GES ISTerre'!X29/'Bilan GES ISTerre'!$X$37,"")</f>
        <v/>
      </c>
      <c r="G41" s="224" t="str">
        <f>IFERROR('Bilan GES ISTerre'!AC29/'Bilan GES ISTerre'!$AC$37,"")</f>
        <v/>
      </c>
      <c r="H41" s="224" t="str">
        <f>IFERROR('Bilan GES ISTerre'!AH29/'Bilan GES ISTerre'!$AH$37,"")</f>
        <v/>
      </c>
      <c r="I41" s="224" t="str">
        <f>IFERROR('Bilan GES ISTerre'!AM29/'Bilan GES ISTerre'!$AM$37,"")</f>
        <v/>
      </c>
      <c r="J41" s="224" t="str">
        <f>IFERROR('Bilan GES ISTerre'!AR29/'Bilan GES ISTerre'!$AR$37,"")</f>
        <v/>
      </c>
      <c r="K41" s="224" t="str">
        <f>IFERROR('Bilan GES ISTerre'!AW29/'Bilan GES ISTerre'!$AW$37,"")</f>
        <v/>
      </c>
      <c r="L41" s="225" t="str">
        <f>IFERROR('Bilan GES ISTerre'!BB29/'Bilan GES ISTerre'!$BB$37,"")</f>
        <v/>
      </c>
    </row>
    <row r="42" spans="1:12" ht="18.899999999999999" customHeight="1">
      <c r="A42" s="659" t="s">
        <v>80</v>
      </c>
      <c r="B42" s="507"/>
      <c r="C42" s="222">
        <f>IFERROR('Bilan GES ISTerre'!I30/'Bilan GES ISTerre'!$I$37,"")</f>
        <v>0.72978586782555577</v>
      </c>
      <c r="D42" s="223">
        <f>IFERROR('Bilan GES ISTerre'!N30/'Bilan GES ISTerre'!$N$37,"")</f>
        <v>0.72455717441318701</v>
      </c>
      <c r="E42" s="223">
        <f>IFERROR('Bilan GES ISTerre'!S30/'Bilan GES ISTerre'!$S$37,"")</f>
        <v>0.7228382386256994</v>
      </c>
      <c r="F42" s="224" t="str">
        <f>IFERROR('Bilan GES ISTerre'!X30/'Bilan GES ISTerre'!$X$37,"")</f>
        <v/>
      </c>
      <c r="G42" s="224" t="str">
        <f>IFERROR('Bilan GES ISTerre'!AC30/'Bilan GES ISTerre'!$AC$37,"")</f>
        <v/>
      </c>
      <c r="H42" s="224" t="str">
        <f>IFERROR('Bilan GES ISTerre'!AH30/'Bilan GES ISTerre'!$AH$37,"")</f>
        <v/>
      </c>
      <c r="I42" s="224" t="str">
        <f>IFERROR('Bilan GES ISTerre'!AM30/'Bilan GES ISTerre'!$AM$37,"")</f>
        <v/>
      </c>
      <c r="J42" s="224" t="str">
        <f>IFERROR('Bilan GES ISTerre'!AR30/'Bilan GES ISTerre'!$AR$37,"")</f>
        <v/>
      </c>
      <c r="K42" s="224" t="str">
        <f>IFERROR('Bilan GES ISTerre'!AW30/'Bilan GES ISTerre'!$AW$37,"")</f>
        <v/>
      </c>
      <c r="L42" s="225" t="str">
        <f>IFERROR('Bilan GES ISTerre'!BB30/'Bilan GES ISTerre'!$BB$37,"")</f>
        <v/>
      </c>
    </row>
    <row r="43" spans="1:12" ht="18.899999999999999" customHeight="1">
      <c r="A43" s="659" t="s">
        <v>81</v>
      </c>
      <c r="B43" s="507"/>
      <c r="C43" s="222">
        <f>IFERROR('Bilan GES ISTerre'!I31/'Bilan GES ISTerre'!$I$37,"")</f>
        <v>0</v>
      </c>
      <c r="D43" s="223">
        <f>IFERROR('Bilan GES ISTerre'!N31/'Bilan GES ISTerre'!$N$37,"")</f>
        <v>0</v>
      </c>
      <c r="E43" s="223">
        <f>IFERROR('Bilan GES ISTerre'!S31/'Bilan GES ISTerre'!$S$37,"")</f>
        <v>0</v>
      </c>
      <c r="F43" s="224" t="str">
        <f>IFERROR('Bilan GES ISTerre'!X31/'Bilan GES ISTerre'!$X$37,"")</f>
        <v/>
      </c>
      <c r="G43" s="224" t="str">
        <f>IFERROR('Bilan GES ISTerre'!AC31/'Bilan GES ISTerre'!$AC$37,"")</f>
        <v/>
      </c>
      <c r="H43" s="224" t="str">
        <f>IFERROR('Bilan GES ISTerre'!AH31/'Bilan GES ISTerre'!$AH$37,"")</f>
        <v/>
      </c>
      <c r="I43" s="224" t="str">
        <f>IFERROR('Bilan GES ISTerre'!AM31/'Bilan GES ISTerre'!$AM$37,"")</f>
        <v/>
      </c>
      <c r="J43" s="224" t="str">
        <f>IFERROR('Bilan GES ISTerre'!AR31/'Bilan GES ISTerre'!$AR$37,"")</f>
        <v/>
      </c>
      <c r="K43" s="224" t="str">
        <f>IFERROR('Bilan GES ISTerre'!AW31/'Bilan GES ISTerre'!$AW$37,"")</f>
        <v/>
      </c>
      <c r="L43" s="225" t="str">
        <f>IFERROR('Bilan GES ISTerre'!BB31/'Bilan GES ISTerre'!$BB$37,"")</f>
        <v/>
      </c>
    </row>
    <row r="44" spans="1:12" ht="18.899999999999999" customHeight="1">
      <c r="A44" s="659" t="s">
        <v>82</v>
      </c>
      <c r="B44" s="507"/>
      <c r="C44" s="222">
        <f>IFERROR('Bilan GES ISTerre'!I32/'Bilan GES ISTerre'!$I$37,"")</f>
        <v>8.4749792034750342E-3</v>
      </c>
      <c r="D44" s="223">
        <f>IFERROR('Bilan GES ISTerre'!N32/'Bilan GES ISTerre'!$N$37,"")</f>
        <v>8.7510521670558662E-3</v>
      </c>
      <c r="E44" s="223">
        <f>IFERROR('Bilan GES ISTerre'!S32/'Bilan GES ISTerre'!$S$37,"")</f>
        <v>9.1604014169787053E-3</v>
      </c>
      <c r="F44" s="224" t="str">
        <f>IFERROR('Bilan GES ISTerre'!X32/'Bilan GES ISTerre'!$X$37,"")</f>
        <v/>
      </c>
      <c r="G44" s="224" t="str">
        <f>IFERROR('Bilan GES ISTerre'!AC32/'Bilan GES ISTerre'!$AC$37,"")</f>
        <v/>
      </c>
      <c r="H44" s="224" t="str">
        <f>IFERROR('Bilan GES ISTerre'!AH32/'Bilan GES ISTerre'!$AH$37,"")</f>
        <v/>
      </c>
      <c r="I44" s="224" t="str">
        <f>IFERROR('Bilan GES ISTerre'!AM32/'Bilan GES ISTerre'!$AM$37,"")</f>
        <v/>
      </c>
      <c r="J44" s="224" t="str">
        <f>IFERROR('Bilan GES ISTerre'!AR32/'Bilan GES ISTerre'!$AR$37,"")</f>
        <v/>
      </c>
      <c r="K44" s="224" t="str">
        <f>IFERROR('Bilan GES ISTerre'!AW32/'Bilan GES ISTerre'!$AW$37,"")</f>
        <v/>
      </c>
      <c r="L44" s="225" t="str">
        <f>IFERROR('Bilan GES ISTerre'!BB32/'Bilan GES ISTerre'!$BB$37,"")</f>
        <v/>
      </c>
    </row>
    <row r="45" spans="1:12" ht="18.899999999999999" customHeight="1">
      <c r="A45" s="659" t="s">
        <v>83</v>
      </c>
      <c r="B45" s="507"/>
      <c r="C45" s="222">
        <f>IFERROR('Bilan GES ISTerre'!I33/'Bilan GES ISTerre'!$I$37,"")</f>
        <v>0</v>
      </c>
      <c r="D45" s="223">
        <f>IFERROR('Bilan GES ISTerre'!N33/'Bilan GES ISTerre'!$N$37,"")</f>
        <v>0</v>
      </c>
      <c r="E45" s="223">
        <f>IFERROR('Bilan GES ISTerre'!S33/'Bilan GES ISTerre'!$S$37,"")</f>
        <v>0</v>
      </c>
      <c r="F45" s="224" t="str">
        <f>IFERROR('Bilan GES ISTerre'!X33/'Bilan GES ISTerre'!$X$37,"")</f>
        <v/>
      </c>
      <c r="G45" s="224" t="str">
        <f>IFERROR('Bilan GES ISTerre'!AC33/'Bilan GES ISTerre'!$AC$37,"")</f>
        <v/>
      </c>
      <c r="H45" s="224" t="str">
        <f>IFERROR('Bilan GES ISTerre'!AH33/'Bilan GES ISTerre'!$AH$37,"")</f>
        <v/>
      </c>
      <c r="I45" s="224" t="str">
        <f>IFERROR('Bilan GES ISTerre'!AM33/'Bilan GES ISTerre'!$AM$37,"")</f>
        <v/>
      </c>
      <c r="J45" s="224" t="str">
        <f>IFERROR('Bilan GES ISTerre'!AR33/'Bilan GES ISTerre'!$AR$37,"")</f>
        <v/>
      </c>
      <c r="K45" s="224" t="str">
        <f>IFERROR('Bilan GES ISTerre'!AW33/'Bilan GES ISTerre'!$AW$37,"")</f>
        <v/>
      </c>
      <c r="L45" s="225" t="str">
        <f>IFERROR('Bilan GES ISTerre'!BB33/'Bilan GES ISTerre'!$BB$37,"")</f>
        <v/>
      </c>
    </row>
    <row r="46" spans="1:12" ht="18.899999999999999" customHeight="1">
      <c r="A46" s="659" t="s">
        <v>73</v>
      </c>
      <c r="B46" s="507"/>
      <c r="C46" s="222">
        <f>IFERROR('Bilan GES ISTerre'!I34/'Bilan GES ISTerre'!$I$37,"")</f>
        <v>1.7106292974781195E-2</v>
      </c>
      <c r="D46" s="223">
        <f>IFERROR('Bilan GES ISTerre'!N34/'Bilan GES ISTerre'!$N$37,"")</f>
        <v>1.7663531510008944E-2</v>
      </c>
      <c r="E46" s="223">
        <f>IFERROR('Bilan GES ISTerre'!S34/'Bilan GES ISTerre'!$S$37,"")</f>
        <v>1.8489781112523022E-2</v>
      </c>
      <c r="F46" s="224" t="str">
        <f>IFERROR('Bilan GES ISTerre'!X34/'Bilan GES ISTerre'!$X$37,"")</f>
        <v/>
      </c>
      <c r="G46" s="224" t="str">
        <f>IFERROR('Bilan GES ISTerre'!AC34/'Bilan GES ISTerre'!$AC$37,"")</f>
        <v/>
      </c>
      <c r="H46" s="224" t="str">
        <f>IFERROR('Bilan GES ISTerre'!AH34/'Bilan GES ISTerre'!$AH$37,"")</f>
        <v/>
      </c>
      <c r="I46" s="224" t="str">
        <f>IFERROR('Bilan GES ISTerre'!AM34/'Bilan GES ISTerre'!$AM$37,"")</f>
        <v/>
      </c>
      <c r="J46" s="224" t="str">
        <f>IFERROR('Bilan GES ISTerre'!AR34/'Bilan GES ISTerre'!$AR$37,"")</f>
        <v/>
      </c>
      <c r="K46" s="224" t="str">
        <f>IFERROR('Bilan GES ISTerre'!AW34/'Bilan GES ISTerre'!$AW$37,"")</f>
        <v/>
      </c>
      <c r="L46" s="225" t="str">
        <f>IFERROR('Bilan GES ISTerre'!BB34/'Bilan GES ISTerre'!$BB$37,"")</f>
        <v/>
      </c>
    </row>
    <row r="47" spans="1:12" ht="18.899999999999999" customHeight="1">
      <c r="A47" s="659" t="s">
        <v>84</v>
      </c>
      <c r="B47" s="507"/>
      <c r="C47" s="222">
        <f>IFERROR('Bilan GES ISTerre'!I35/'Bilan GES ISTerre'!$I$37,"")</f>
        <v>2.2253762898153972E-3</v>
      </c>
      <c r="D47" s="223">
        <f>IFERROR('Bilan GES ISTerre'!N35/'Bilan GES ISTerre'!$N$37,"")</f>
        <v>2.2534993956879138E-3</v>
      </c>
      <c r="E47" s="223">
        <f>IFERROR('Bilan GES ISTerre'!S35/'Bilan GES ISTerre'!$S$37,"")</f>
        <v>2.2224712450455782E-3</v>
      </c>
      <c r="F47" s="224" t="str">
        <f>IFERROR('Bilan GES ISTerre'!X35/'Bilan GES ISTerre'!$X$37,"")</f>
        <v/>
      </c>
      <c r="G47" s="224" t="str">
        <f>IFERROR('Bilan GES ISTerre'!AC35/'Bilan GES ISTerre'!$AC$37,"")</f>
        <v/>
      </c>
      <c r="H47" s="224" t="str">
        <f>IFERROR('Bilan GES ISTerre'!AH35/'Bilan GES ISTerre'!$AH$37,"")</f>
        <v/>
      </c>
      <c r="I47" s="224" t="str">
        <f>IFERROR('Bilan GES ISTerre'!AM35/'Bilan GES ISTerre'!$AM$37,"")</f>
        <v/>
      </c>
      <c r="J47" s="224" t="str">
        <f>IFERROR('Bilan GES ISTerre'!AR35/'Bilan GES ISTerre'!$AR$37,"")</f>
        <v/>
      </c>
      <c r="K47" s="224" t="str">
        <f>IFERROR('Bilan GES ISTerre'!AW35/'Bilan GES ISTerre'!$AW$37,"")</f>
        <v/>
      </c>
      <c r="L47" s="225" t="str">
        <f>IFERROR('Bilan GES ISTerre'!BB35/'Bilan GES ISTerre'!$BB$37,"")</f>
        <v/>
      </c>
    </row>
    <row r="48" spans="1:12" ht="19.95" customHeight="1">
      <c r="A48" s="660" t="s">
        <v>72</v>
      </c>
      <c r="B48" s="504"/>
      <c r="C48" s="234">
        <f>IFERROR('Bilan GES ISTerre'!I36/'Bilan GES ISTerre'!$I$37,"")</f>
        <v>8.4795107104541998E-3</v>
      </c>
      <c r="D48" s="235">
        <f>IFERROR('Bilan GES ISTerre'!N36/'Bilan GES ISTerre'!$N$37,"")</f>
        <v>8.5603864641481051E-3</v>
      </c>
      <c r="E48" s="235">
        <f>IFERROR('Bilan GES ISTerre'!S36/'Bilan GES ISTerre'!$S$37,"")</f>
        <v>8.5292369748080406E-3</v>
      </c>
      <c r="F48" s="236" t="str">
        <f>IFERROR('Bilan GES ISTerre'!X36/'Bilan GES ISTerre'!$X$37,"")</f>
        <v/>
      </c>
      <c r="G48" s="236" t="str">
        <f>IFERROR('Bilan GES ISTerre'!AC36/'Bilan GES ISTerre'!$AC$37,"")</f>
        <v/>
      </c>
      <c r="H48" s="236" t="str">
        <f>IFERROR('Bilan GES ISTerre'!AH36/'Bilan GES ISTerre'!$AH$37,"")</f>
        <v/>
      </c>
      <c r="I48" s="236" t="str">
        <f>IFERROR('Bilan GES ISTerre'!AM36/'Bilan GES ISTerre'!$AM$37,"")</f>
        <v/>
      </c>
      <c r="J48" s="236" t="str">
        <f>IFERROR('Bilan GES ISTerre'!AR36/'Bilan GES ISTerre'!$AR$37,"")</f>
        <v/>
      </c>
      <c r="K48" s="236" t="str">
        <f>IFERROR('Bilan GES ISTerre'!AW36/'Bilan GES ISTerre'!$AW$37,"")</f>
        <v/>
      </c>
      <c r="L48" s="237" t="str">
        <f>IFERROR('Bilan GES ISTerre'!BB36/'Bilan GES ISTerre'!$BB$37,"")</f>
        <v/>
      </c>
    </row>
  </sheetData>
  <sheetProtection algorithmName="SHA-512" hashValue="2oWbbCW5diZ8cwSuAal9lI9U43LIG9EHrDiYnMZQQPyx4XfIc1VSXtrJFSBm3x6dYevQYlhgn7l07eP8ckGb1w==" saltValue="wpNTLjNNa0pPOt0LsFofDQ==" spinCount="100000" sheet="1" objects="1" scenarios="1"/>
  <mergeCells count="30">
    <mergeCell ref="A2:B2"/>
    <mergeCell ref="A30:B30"/>
    <mergeCell ref="A5:B5"/>
    <mergeCell ref="A9:B9"/>
    <mergeCell ref="A12:B12"/>
    <mergeCell ref="A6:B6"/>
    <mergeCell ref="A7:B7"/>
    <mergeCell ref="A8:B8"/>
    <mergeCell ref="A46:B46"/>
    <mergeCell ref="A37:B37"/>
    <mergeCell ref="A38:B38"/>
    <mergeCell ref="A39:B39"/>
    <mergeCell ref="A40:B40"/>
    <mergeCell ref="A41:B41"/>
    <mergeCell ref="C1:L1"/>
    <mergeCell ref="A47:B47"/>
    <mergeCell ref="A48:B48"/>
    <mergeCell ref="A10:B10"/>
    <mergeCell ref="A13:B13"/>
    <mergeCell ref="A14:B14"/>
    <mergeCell ref="A17:B17"/>
    <mergeCell ref="A15:B15"/>
    <mergeCell ref="A16:B16"/>
    <mergeCell ref="A23:B23"/>
    <mergeCell ref="A22:B22"/>
    <mergeCell ref="A11:B11"/>
    <mergeCell ref="A42:B42"/>
    <mergeCell ref="A43:B43"/>
    <mergeCell ref="A44:B44"/>
    <mergeCell ref="A45:B45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workbookViewId="0">
      <selection activeCell="H9" sqref="H9"/>
    </sheetView>
  </sheetViews>
  <sheetFormatPr baseColWidth="10" defaultColWidth="16.33203125" defaultRowHeight="19.95" customHeight="1"/>
  <cols>
    <col min="1" max="11" width="16.6640625" style="262" customWidth="1"/>
    <col min="12" max="256" width="16.33203125" style="262" customWidth="1"/>
  </cols>
  <sheetData>
    <row r="1" spans="1:11" ht="45" customHeight="1">
      <c r="A1" s="681" t="s">
        <v>222</v>
      </c>
      <c r="B1" s="538"/>
      <c r="C1" s="526"/>
      <c r="D1" s="526"/>
      <c r="E1" s="526"/>
      <c r="F1" s="526"/>
      <c r="G1" s="526"/>
      <c r="H1" s="526"/>
      <c r="I1" s="526"/>
      <c r="J1" s="526"/>
      <c r="K1" s="526"/>
    </row>
    <row r="2" spans="1:11" ht="45" customHeight="1">
      <c r="A2" s="263" t="s">
        <v>223</v>
      </c>
      <c r="B2" s="372" t="s">
        <v>32</v>
      </c>
      <c r="C2" s="372" t="s">
        <v>33</v>
      </c>
      <c r="D2" s="372" t="s">
        <v>34</v>
      </c>
      <c r="E2" s="372" t="s">
        <v>35</v>
      </c>
      <c r="F2" s="372" t="s">
        <v>36</v>
      </c>
      <c r="G2" s="372" t="s">
        <v>37</v>
      </c>
      <c r="H2" s="372" t="s">
        <v>38</v>
      </c>
      <c r="I2" s="372" t="s">
        <v>224</v>
      </c>
      <c r="J2" s="372" t="s">
        <v>225</v>
      </c>
      <c r="K2" s="372" t="s">
        <v>226</v>
      </c>
    </row>
    <row r="3" spans="1:11" ht="22.2" customHeight="1">
      <c r="A3" s="264" t="s">
        <v>227</v>
      </c>
      <c r="B3" s="473">
        <v>75570.451612903198</v>
      </c>
      <c r="C3" s="473">
        <v>125305</v>
      </c>
      <c r="D3" s="473"/>
      <c r="E3" s="473"/>
      <c r="F3" s="473"/>
      <c r="G3" s="473"/>
      <c r="H3" s="473"/>
      <c r="I3" s="473"/>
      <c r="J3" s="473"/>
      <c r="K3" s="473"/>
    </row>
    <row r="4" spans="1:11" ht="22.2" customHeight="1">
      <c r="A4" s="265" t="s">
        <v>228</v>
      </c>
      <c r="B4" s="474">
        <v>57228.3759733037</v>
      </c>
      <c r="C4" s="474">
        <v>72933</v>
      </c>
      <c r="D4" s="474"/>
      <c r="E4" s="474"/>
      <c r="F4" s="474"/>
      <c r="G4" s="474"/>
      <c r="H4" s="474"/>
      <c r="I4" s="474"/>
      <c r="J4" s="474"/>
      <c r="K4" s="474"/>
    </row>
    <row r="5" spans="1:11" ht="22.2" customHeight="1">
      <c r="A5" s="265" t="s">
        <v>229</v>
      </c>
      <c r="B5" s="474">
        <v>56135.946607341502</v>
      </c>
      <c r="C5" s="474">
        <v>50184</v>
      </c>
      <c r="D5" s="474"/>
      <c r="E5" s="474"/>
      <c r="F5" s="474"/>
      <c r="G5" s="474"/>
      <c r="H5" s="474"/>
      <c r="I5" s="474"/>
      <c r="J5" s="474"/>
      <c r="K5" s="474"/>
    </row>
    <row r="6" spans="1:11" ht="22.2" customHeight="1">
      <c r="A6" s="265" t="s">
        <v>230</v>
      </c>
      <c r="B6" s="474">
        <v>20753.225806451599</v>
      </c>
      <c r="C6" s="474">
        <v>16585</v>
      </c>
      <c r="D6" s="474"/>
      <c r="E6" s="474"/>
      <c r="F6" s="474"/>
      <c r="G6" s="474"/>
      <c r="H6" s="474"/>
      <c r="I6" s="474"/>
      <c r="J6" s="474"/>
      <c r="K6" s="474"/>
    </row>
    <row r="7" spans="1:11" ht="22.2" customHeight="1">
      <c r="A7" s="265" t="s">
        <v>231</v>
      </c>
      <c r="B7" s="474">
        <v>0</v>
      </c>
      <c r="C7" s="474">
        <v>10703</v>
      </c>
      <c r="D7" s="474"/>
      <c r="E7" s="474"/>
      <c r="F7" s="474"/>
      <c r="G7" s="474"/>
      <c r="H7" s="474"/>
      <c r="I7" s="474"/>
      <c r="J7" s="474"/>
      <c r="K7" s="474"/>
    </row>
    <row r="8" spans="1:11" ht="22.2" customHeight="1">
      <c r="A8" s="265" t="s">
        <v>232</v>
      </c>
      <c r="B8" s="474">
        <v>0</v>
      </c>
      <c r="C8" s="474">
        <v>0</v>
      </c>
      <c r="D8" s="474"/>
      <c r="E8" s="474"/>
      <c r="F8" s="474"/>
      <c r="G8" s="474"/>
      <c r="H8" s="474"/>
      <c r="I8" s="474"/>
      <c r="J8" s="474"/>
      <c r="K8" s="474"/>
    </row>
    <row r="9" spans="1:11" ht="22.2" customHeight="1">
      <c r="A9" s="265" t="s">
        <v>233</v>
      </c>
      <c r="B9" s="474">
        <v>0</v>
      </c>
      <c r="C9" s="474">
        <v>0</v>
      </c>
      <c r="D9" s="474"/>
      <c r="E9" s="474"/>
      <c r="F9" s="474"/>
      <c r="G9" s="474"/>
      <c r="H9" s="474"/>
      <c r="I9" s="474"/>
      <c r="J9" s="474"/>
      <c r="K9" s="474"/>
    </row>
    <row r="10" spans="1:11" ht="22.2" customHeight="1">
      <c r="A10" s="265" t="s">
        <v>234</v>
      </c>
      <c r="B10" s="474">
        <v>0</v>
      </c>
      <c r="C10" s="474">
        <v>0</v>
      </c>
      <c r="D10" s="474"/>
      <c r="E10" s="474"/>
      <c r="F10" s="474"/>
      <c r="G10" s="474"/>
      <c r="H10" s="474"/>
      <c r="I10" s="474"/>
      <c r="J10" s="474"/>
      <c r="K10" s="474"/>
    </row>
    <row r="11" spans="1:11" ht="22.2" customHeight="1">
      <c r="A11" s="265" t="s">
        <v>235</v>
      </c>
      <c r="B11" s="474">
        <v>0</v>
      </c>
      <c r="C11" s="474">
        <v>0</v>
      </c>
      <c r="D11" s="474"/>
      <c r="E11" s="474"/>
      <c r="F11" s="474"/>
      <c r="G11" s="474"/>
      <c r="H11" s="474"/>
      <c r="I11" s="474"/>
      <c r="J11" s="474"/>
      <c r="K11" s="474"/>
    </row>
    <row r="12" spans="1:11" ht="22.2" customHeight="1">
      <c r="A12" s="265" t="s">
        <v>236</v>
      </c>
      <c r="B12" s="474">
        <v>27815.279999999999</v>
      </c>
      <c r="C12" s="474">
        <v>13116</v>
      </c>
      <c r="D12" s="474"/>
      <c r="E12" s="474"/>
      <c r="F12" s="474"/>
      <c r="G12" s="474"/>
      <c r="H12" s="474"/>
      <c r="I12" s="474"/>
      <c r="J12" s="474"/>
      <c r="K12" s="474"/>
    </row>
    <row r="13" spans="1:11" ht="22.2" customHeight="1">
      <c r="A13" s="265" t="s">
        <v>237</v>
      </c>
      <c r="B13" s="474">
        <v>60262.833333333299</v>
      </c>
      <c r="C13" s="474">
        <v>73239</v>
      </c>
      <c r="D13" s="474"/>
      <c r="E13" s="474"/>
      <c r="F13" s="474"/>
      <c r="G13" s="474"/>
      <c r="H13" s="474"/>
      <c r="I13" s="474"/>
      <c r="J13" s="474"/>
      <c r="K13" s="474"/>
    </row>
    <row r="14" spans="1:11" ht="22.2" customHeight="1">
      <c r="A14" s="266" t="s">
        <v>238</v>
      </c>
      <c r="B14" s="475">
        <v>105884.392473118</v>
      </c>
      <c r="C14" s="475">
        <v>92938</v>
      </c>
      <c r="D14" s="475"/>
      <c r="E14" s="475"/>
      <c r="F14" s="475"/>
      <c r="G14" s="475"/>
      <c r="H14" s="475"/>
      <c r="I14" s="475"/>
      <c r="J14" s="475"/>
      <c r="K14" s="475"/>
    </row>
    <row r="15" spans="1:11" ht="45" customHeight="1">
      <c r="A15" s="267" t="s">
        <v>164</v>
      </c>
      <c r="B15" s="476">
        <f t="shared" ref="B15:K15" si="0">SUM(B3:B14)</f>
        <v>403650.50580645131</v>
      </c>
      <c r="C15" s="476">
        <f t="shared" si="0"/>
        <v>455003</v>
      </c>
      <c r="D15" s="476">
        <f t="shared" si="0"/>
        <v>0</v>
      </c>
      <c r="E15" s="476">
        <f t="shared" si="0"/>
        <v>0</v>
      </c>
      <c r="F15" s="476">
        <f t="shared" si="0"/>
        <v>0</v>
      </c>
      <c r="G15" s="476">
        <f t="shared" si="0"/>
        <v>0</v>
      </c>
      <c r="H15" s="476">
        <f t="shared" si="0"/>
        <v>0</v>
      </c>
      <c r="I15" s="476">
        <f t="shared" si="0"/>
        <v>0</v>
      </c>
      <c r="J15" s="476">
        <f t="shared" si="0"/>
        <v>0</v>
      </c>
      <c r="K15" s="476">
        <f t="shared" si="0"/>
        <v>0</v>
      </c>
    </row>
    <row r="16" spans="1:11" ht="45" customHeight="1">
      <c r="A16" s="267" t="s">
        <v>239</v>
      </c>
      <c r="B16" s="472">
        <v>2184</v>
      </c>
      <c r="C16" s="472">
        <v>2373</v>
      </c>
      <c r="D16" s="472">
        <v>2082</v>
      </c>
      <c r="E16" s="472"/>
      <c r="F16" s="472"/>
      <c r="G16" s="472"/>
      <c r="H16" s="472"/>
      <c r="I16" s="472"/>
      <c r="J16" s="472"/>
      <c r="K16" s="472"/>
    </row>
    <row r="17" spans="1:11" ht="45" customHeight="1">
      <c r="A17" s="269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54.9" customHeight="1">
      <c r="A18" s="682" t="s">
        <v>240</v>
      </c>
      <c r="B18" s="526"/>
      <c r="C18" s="526"/>
      <c r="D18" s="526"/>
      <c r="E18" s="526"/>
      <c r="F18" s="526"/>
      <c r="G18" s="526"/>
      <c r="H18" s="526"/>
      <c r="I18" s="526"/>
      <c r="J18" s="526"/>
      <c r="K18" s="526"/>
    </row>
    <row r="19" spans="1:11" ht="23.7" customHeight="1">
      <c r="A19" s="270" t="s">
        <v>241</v>
      </c>
      <c r="B19" s="271">
        <v>2016</v>
      </c>
      <c r="C19" s="271">
        <v>2017</v>
      </c>
      <c r="D19" s="271">
        <v>2018</v>
      </c>
      <c r="E19" s="271">
        <v>2019</v>
      </c>
      <c r="F19" s="271">
        <v>2020</v>
      </c>
      <c r="G19" s="271">
        <v>2021</v>
      </c>
      <c r="H19" s="271">
        <v>2022</v>
      </c>
      <c r="I19" s="271">
        <v>2023</v>
      </c>
      <c r="J19" s="271">
        <v>2024</v>
      </c>
      <c r="K19" s="271">
        <v>2025</v>
      </c>
    </row>
    <row r="20" spans="1:11" ht="54.9" customHeight="1">
      <c r="A20" s="272" t="s">
        <v>242</v>
      </c>
      <c r="B20" s="472"/>
      <c r="C20" s="472">
        <v>145778.49</v>
      </c>
      <c r="D20" s="472"/>
      <c r="E20" s="472"/>
      <c r="F20" s="472"/>
      <c r="G20" s="472"/>
      <c r="H20" s="472"/>
      <c r="I20" s="472"/>
      <c r="J20" s="472"/>
      <c r="K20" s="472"/>
    </row>
    <row r="21" spans="1:11" ht="37.65" customHeight="1">
      <c r="A21" s="272" t="s">
        <v>243</v>
      </c>
      <c r="B21" s="472"/>
      <c r="C21" s="472">
        <v>94813</v>
      </c>
      <c r="D21" s="472"/>
      <c r="E21" s="472"/>
      <c r="F21" s="472"/>
      <c r="G21" s="472"/>
      <c r="H21" s="472"/>
      <c r="I21" s="472"/>
      <c r="J21" s="472"/>
      <c r="K21" s="472"/>
    </row>
    <row r="22" spans="1:11" ht="74.400000000000006" customHeight="1">
      <c r="A22" s="272" t="s">
        <v>244</v>
      </c>
      <c r="B22" s="268">
        <f>B20/'Infos ISTerre'!$B$7*'Infos ISTerre'!$B$8</f>
        <v>0</v>
      </c>
      <c r="C22" s="268">
        <f>C20/'Infos ISTerre'!$B$7*'Infos ISTerre'!$B$8</f>
        <v>25772.365443925231</v>
      </c>
      <c r="D22" s="268">
        <f>D20/'Infos ISTerre'!$B$7*'Infos ISTerre'!$B$8</f>
        <v>0</v>
      </c>
      <c r="E22" s="268">
        <f>E20/'Infos ISTerre'!$B$7*'Infos ISTerre'!$B$8</f>
        <v>0</v>
      </c>
      <c r="F22" s="268">
        <f>F20/'Infos ISTerre'!$B$7*'Infos ISTerre'!$B$8</f>
        <v>0</v>
      </c>
      <c r="G22" s="268">
        <f>G20/'Infos ISTerre'!$B$7*'Infos ISTerre'!$B$8</f>
        <v>0</v>
      </c>
      <c r="H22" s="268">
        <f>H20/'Infos ISTerre'!$B$7*'Infos ISTerre'!$B$8</f>
        <v>0</v>
      </c>
      <c r="I22" s="268">
        <f>I20/'Infos ISTerre'!$B$7*'Infos ISTerre'!$B$8</f>
        <v>0</v>
      </c>
      <c r="J22" s="268">
        <f>J20/'Infos ISTerre'!$B$7*'Infos ISTerre'!$B$8</f>
        <v>0</v>
      </c>
      <c r="K22" s="268">
        <f>K20/'Infos ISTerre'!$B$7*'Infos ISTerre'!$B$8</f>
        <v>0</v>
      </c>
    </row>
    <row r="23" spans="1:11" ht="54.9" customHeight="1">
      <c r="A23" s="272" t="s">
        <v>245</v>
      </c>
      <c r="B23" s="268">
        <f>B21/'Infos ISTerre'!$C$7*'Infos ISTerre'!$C$8</f>
        <v>0</v>
      </c>
      <c r="C23" s="268">
        <f>C21/'Infos ISTerre'!$C$7*'Infos ISTerre'!$C$8</f>
        <v>11738.752380952381</v>
      </c>
      <c r="D23" s="268">
        <f>D21/'Infos ISTerre'!$C$7*'Infos ISTerre'!$C$8</f>
        <v>0</v>
      </c>
      <c r="E23" s="268">
        <f>E21/'Infos ISTerre'!$C$7*'Infos ISTerre'!$C$8</f>
        <v>0</v>
      </c>
      <c r="F23" s="268">
        <f>F21/'Infos ISTerre'!$C$7*'Infos ISTerre'!$C$8</f>
        <v>0</v>
      </c>
      <c r="G23" s="268">
        <f>G21/'Infos ISTerre'!$C$7*'Infos ISTerre'!$C$8</f>
        <v>0</v>
      </c>
      <c r="H23" s="268">
        <f>H21/'Infos ISTerre'!$C$7*'Infos ISTerre'!$C$8</f>
        <v>0</v>
      </c>
      <c r="I23" s="268">
        <f>I21/'Infos ISTerre'!$C$7*'Infos ISTerre'!$C$8</f>
        <v>0</v>
      </c>
      <c r="J23" s="268">
        <f>J21/'Infos ISTerre'!$C$7*'Infos ISTerre'!$C$8</f>
        <v>0</v>
      </c>
      <c r="K23" s="268">
        <f>K21/'Infos ISTerre'!$C$7*'Infos ISTerre'!$C$8</f>
        <v>0</v>
      </c>
    </row>
  </sheetData>
  <sheetProtection algorithmName="SHA-512" hashValue="mijzLcwLwUnTIB1JNlr0Yrxqs5HNhTeEqKsPEvr14vzzOE9R7uSsJ0wDsU1k+xdPjOtim0vBlBtpkygpHtOogg==" saltValue="JL5+GNMiYuiM0xyq+GFn8g==" spinCount="100000" sheet="1" objects="1" scenarios="1"/>
  <mergeCells count="2">
    <mergeCell ref="A1:K1"/>
    <mergeCell ref="A18:K18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6"/>
  <sheetViews>
    <sheetView showGridLines="0" tabSelected="1" topLeftCell="A6" workbookViewId="0">
      <selection activeCell="C7" sqref="C7"/>
    </sheetView>
  </sheetViews>
  <sheetFormatPr baseColWidth="10" defaultColWidth="16.33203125" defaultRowHeight="19.95" customHeight="1"/>
  <cols>
    <col min="1" max="11" width="16.6640625" style="273" customWidth="1"/>
    <col min="12" max="256" width="16.33203125" style="273" customWidth="1"/>
  </cols>
  <sheetData>
    <row r="1" spans="1:11" ht="45" customHeight="1">
      <c r="A1" s="682" t="s">
        <v>246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1" ht="31.65" customHeight="1">
      <c r="A2" s="274" t="s">
        <v>90</v>
      </c>
      <c r="B2" s="275">
        <v>2016</v>
      </c>
      <c r="C2" s="276">
        <v>2017</v>
      </c>
      <c r="D2" s="276">
        <v>2018</v>
      </c>
      <c r="E2" s="276">
        <v>2019</v>
      </c>
      <c r="F2" s="276">
        <v>2020</v>
      </c>
      <c r="G2" s="276">
        <v>2021</v>
      </c>
      <c r="H2" s="276">
        <v>2022</v>
      </c>
      <c r="I2" s="276">
        <v>2023</v>
      </c>
      <c r="J2" s="276">
        <v>2024</v>
      </c>
      <c r="K2" s="277">
        <v>2025</v>
      </c>
    </row>
    <row r="3" spans="1:11" ht="48.75" customHeight="1">
      <c r="A3" s="278" t="s">
        <v>247</v>
      </c>
      <c r="B3" s="18">
        <f t="shared" ref="B3:K3" si="0">B24</f>
        <v>627411</v>
      </c>
      <c r="C3" s="19">
        <f t="shared" si="0"/>
        <v>572529</v>
      </c>
      <c r="D3" s="19">
        <f t="shared" si="0"/>
        <v>0</v>
      </c>
      <c r="E3" s="19">
        <f t="shared" si="0"/>
        <v>0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73">
        <f t="shared" si="0"/>
        <v>0</v>
      </c>
    </row>
    <row r="4" spans="1:11" ht="42.75" customHeight="1">
      <c r="A4" s="279" t="s">
        <v>214</v>
      </c>
      <c r="B4" s="280">
        <f t="shared" ref="B4:K4" si="1">SUM(B30:B31)</f>
        <v>0</v>
      </c>
      <c r="C4" s="174">
        <f t="shared" si="1"/>
        <v>30196.839719626169</v>
      </c>
      <c r="D4" s="174">
        <f t="shared" si="1"/>
        <v>0</v>
      </c>
      <c r="E4" s="174">
        <f t="shared" si="1"/>
        <v>0</v>
      </c>
      <c r="F4" s="174">
        <f t="shared" si="1"/>
        <v>0</v>
      </c>
      <c r="G4" s="174">
        <f t="shared" si="1"/>
        <v>0</v>
      </c>
      <c r="H4" s="174">
        <f t="shared" si="1"/>
        <v>0</v>
      </c>
      <c r="I4" s="174">
        <f t="shared" si="1"/>
        <v>0</v>
      </c>
      <c r="J4" s="174">
        <f t="shared" si="1"/>
        <v>0</v>
      </c>
      <c r="K4" s="175">
        <f t="shared" si="1"/>
        <v>0</v>
      </c>
    </row>
    <row r="5" spans="1:11" ht="30.6" customHeight="1">
      <c r="A5" s="279" t="s">
        <v>215</v>
      </c>
      <c r="B5" s="280">
        <f t="shared" ref="B5:K5" si="2">B36</f>
        <v>3942</v>
      </c>
      <c r="C5" s="174">
        <f t="shared" si="2"/>
        <v>3942</v>
      </c>
      <c r="D5" s="174">
        <f t="shared" si="2"/>
        <v>3942</v>
      </c>
      <c r="E5" s="174">
        <f t="shared" si="2"/>
        <v>3942</v>
      </c>
      <c r="F5" s="174">
        <f t="shared" si="2"/>
        <v>0</v>
      </c>
      <c r="G5" s="174">
        <f t="shared" si="2"/>
        <v>0</v>
      </c>
      <c r="H5" s="174">
        <f t="shared" si="2"/>
        <v>0</v>
      </c>
      <c r="I5" s="174">
        <f t="shared" si="2"/>
        <v>0</v>
      </c>
      <c r="J5" s="174">
        <f t="shared" si="2"/>
        <v>0</v>
      </c>
      <c r="K5" s="175">
        <f t="shared" si="2"/>
        <v>0</v>
      </c>
    </row>
    <row r="6" spans="1:11" ht="30.6" customHeight="1">
      <c r="A6" s="279" t="s">
        <v>216</v>
      </c>
      <c r="B6" s="280">
        <f>'Serveurs informatiques'!C19</f>
        <v>126595.01600000005</v>
      </c>
      <c r="C6" s="174">
        <f>'Serveurs informatiques'!F19</f>
        <v>248305.01600000006</v>
      </c>
      <c r="D6" s="174">
        <f>'Serveurs informatiques'!I19</f>
        <v>126595.01600000005</v>
      </c>
      <c r="E6" s="174">
        <f>'Serveurs informatiques'!L19</f>
        <v>41870.016000000003</v>
      </c>
      <c r="F6" s="174">
        <f>'Serveurs informatiques'!O19</f>
        <v>0</v>
      </c>
      <c r="G6" s="174">
        <f>'Serveurs informatiques'!R19</f>
        <v>0</v>
      </c>
      <c r="H6" s="174">
        <f>'Serveurs informatiques'!U19</f>
        <v>0</v>
      </c>
      <c r="I6" s="174">
        <f>'Serveurs informatiques'!X19</f>
        <v>0</v>
      </c>
      <c r="J6" s="174">
        <f>'Serveurs informatiques'!AA19</f>
        <v>0</v>
      </c>
      <c r="K6" s="175">
        <f>'Serveurs informatiques'!AD19</f>
        <v>0</v>
      </c>
    </row>
    <row r="7" spans="1:11" ht="20.100000000000001" customHeight="1">
      <c r="A7" s="281" t="s">
        <v>217</v>
      </c>
      <c r="B7" s="282">
        <f>Synchrotrons!G5</f>
        <v>0</v>
      </c>
      <c r="C7" s="176">
        <f>Synchrotrons!M5</f>
        <v>868200</v>
      </c>
      <c r="D7" s="176">
        <f>Synchrotrons!S5</f>
        <v>0</v>
      </c>
      <c r="E7" s="176">
        <f>Synchrotrons!Y5</f>
        <v>0</v>
      </c>
      <c r="F7" s="176">
        <f>Synchrotrons!AE5</f>
        <v>0</v>
      </c>
      <c r="G7" s="176">
        <f>Synchrotrons!AK5</f>
        <v>0</v>
      </c>
      <c r="H7" s="176">
        <f>Synchrotrons!AQ5</f>
        <v>0</v>
      </c>
      <c r="I7" s="176">
        <f>Synchrotrons!AW5</f>
        <v>0</v>
      </c>
      <c r="J7" s="176">
        <f>Synchrotrons!BC5</f>
        <v>0</v>
      </c>
      <c r="K7" s="177">
        <f>Synchrotrons!BI5</f>
        <v>0</v>
      </c>
    </row>
    <row r="8" spans="1:11" ht="30" customHeight="1">
      <c r="A8" s="283" t="s">
        <v>164</v>
      </c>
      <c r="B8" s="37">
        <f t="shared" ref="B8:K8" si="3">SUM(B3:B7)</f>
        <v>757948.01600000006</v>
      </c>
      <c r="C8" s="38">
        <f t="shared" si="3"/>
        <v>1723172.8557196262</v>
      </c>
      <c r="D8" s="38">
        <f t="shared" si="3"/>
        <v>130537.01600000005</v>
      </c>
      <c r="E8" s="38">
        <f t="shared" si="3"/>
        <v>45812.016000000003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284">
        <f t="shared" si="3"/>
        <v>0</v>
      </c>
    </row>
    <row r="9" spans="1:11" ht="45" customHeight="1">
      <c r="A9" s="285"/>
      <c r="B9" s="363"/>
      <c r="C9" s="363"/>
      <c r="D9" s="363"/>
      <c r="E9" s="363"/>
      <c r="F9" s="363"/>
      <c r="G9" s="363"/>
      <c r="H9" s="363"/>
      <c r="I9" s="363"/>
      <c r="J9" s="363"/>
      <c r="K9" s="363"/>
    </row>
    <row r="10" spans="1:11" ht="45" customHeight="1">
      <c r="A10" s="681" t="s">
        <v>248</v>
      </c>
      <c r="B10" s="683"/>
      <c r="C10" s="511"/>
      <c r="D10" s="553"/>
      <c r="E10" s="683"/>
      <c r="F10" s="511"/>
      <c r="G10" s="526"/>
      <c r="H10" s="526"/>
      <c r="I10" s="526"/>
      <c r="J10" s="526"/>
      <c r="K10" s="526"/>
    </row>
    <row r="11" spans="1:11" ht="45" customHeight="1">
      <c r="A11" s="263" t="s">
        <v>223</v>
      </c>
      <c r="B11" s="372" t="s">
        <v>32</v>
      </c>
      <c r="C11" s="372" t="s">
        <v>33</v>
      </c>
      <c r="D11" s="372" t="s">
        <v>34</v>
      </c>
      <c r="E11" s="372" t="s">
        <v>35</v>
      </c>
      <c r="F11" s="372" t="s">
        <v>36</v>
      </c>
      <c r="G11" s="372" t="s">
        <v>37</v>
      </c>
      <c r="H11" s="372" t="s">
        <v>38</v>
      </c>
      <c r="I11" s="372" t="s">
        <v>224</v>
      </c>
      <c r="J11" s="372" t="s">
        <v>225</v>
      </c>
      <c r="K11" s="372" t="s">
        <v>226</v>
      </c>
    </row>
    <row r="12" spans="1:11" ht="22.2" customHeight="1">
      <c r="A12" s="264" t="s">
        <v>227</v>
      </c>
      <c r="B12" s="473">
        <v>58330</v>
      </c>
      <c r="C12" s="473">
        <v>59458</v>
      </c>
      <c r="D12" s="473"/>
      <c r="E12" s="473"/>
      <c r="F12" s="473"/>
      <c r="G12" s="473"/>
      <c r="H12" s="473"/>
      <c r="I12" s="473"/>
      <c r="J12" s="473"/>
      <c r="K12" s="473"/>
    </row>
    <row r="13" spans="1:11" ht="22.2" customHeight="1">
      <c r="A13" s="265" t="s">
        <v>228</v>
      </c>
      <c r="B13" s="474">
        <v>55531</v>
      </c>
      <c r="C13" s="474">
        <v>50593</v>
      </c>
      <c r="D13" s="474"/>
      <c r="E13" s="474"/>
      <c r="F13" s="474"/>
      <c r="G13" s="474"/>
      <c r="H13" s="474"/>
      <c r="I13" s="474"/>
      <c r="J13" s="474"/>
      <c r="K13" s="474"/>
    </row>
    <row r="14" spans="1:11" ht="22.2" customHeight="1">
      <c r="A14" s="265" t="s">
        <v>229</v>
      </c>
      <c r="B14" s="474">
        <v>57792</v>
      </c>
      <c r="C14" s="474">
        <v>48217</v>
      </c>
      <c r="D14" s="474"/>
      <c r="E14" s="474"/>
      <c r="F14" s="474"/>
      <c r="G14" s="474"/>
      <c r="H14" s="474"/>
      <c r="I14" s="474"/>
      <c r="J14" s="474"/>
      <c r="K14" s="474"/>
    </row>
    <row r="15" spans="1:11" ht="22.2" customHeight="1">
      <c r="A15" s="265" t="s">
        <v>230</v>
      </c>
      <c r="B15" s="474">
        <v>54073</v>
      </c>
      <c r="C15" s="474">
        <v>45681</v>
      </c>
      <c r="D15" s="474"/>
      <c r="E15" s="474"/>
      <c r="F15" s="474"/>
      <c r="G15" s="474"/>
      <c r="H15" s="474"/>
      <c r="I15" s="474"/>
      <c r="J15" s="474"/>
      <c r="K15" s="474"/>
    </row>
    <row r="16" spans="1:11" ht="22.2" customHeight="1">
      <c r="A16" s="265" t="s">
        <v>231</v>
      </c>
      <c r="B16" s="474">
        <v>52210</v>
      </c>
      <c r="C16" s="474">
        <v>48285</v>
      </c>
      <c r="D16" s="474"/>
      <c r="E16" s="474"/>
      <c r="F16" s="474"/>
      <c r="G16" s="474"/>
      <c r="H16" s="474"/>
      <c r="I16" s="474"/>
      <c r="J16" s="474"/>
      <c r="K16" s="474"/>
    </row>
    <row r="17" spans="1:11" ht="22.2" customHeight="1">
      <c r="A17" s="265" t="s">
        <v>232</v>
      </c>
      <c r="B17" s="474">
        <v>51176</v>
      </c>
      <c r="C17" s="474">
        <v>46219</v>
      </c>
      <c r="D17" s="474"/>
      <c r="E17" s="474"/>
      <c r="F17" s="474"/>
      <c r="G17" s="474"/>
      <c r="H17" s="474"/>
      <c r="I17" s="474"/>
      <c r="J17" s="474"/>
      <c r="K17" s="474"/>
    </row>
    <row r="18" spans="1:11" ht="22.2" customHeight="1">
      <c r="A18" s="265" t="s">
        <v>233</v>
      </c>
      <c r="B18" s="474">
        <v>50764</v>
      </c>
      <c r="C18" s="474">
        <v>40210</v>
      </c>
      <c r="D18" s="474"/>
      <c r="E18" s="474"/>
      <c r="F18" s="474"/>
      <c r="G18" s="474"/>
      <c r="H18" s="474"/>
      <c r="I18" s="474"/>
      <c r="J18" s="474"/>
      <c r="K18" s="474"/>
    </row>
    <row r="19" spans="1:11" ht="22.2" customHeight="1">
      <c r="A19" s="265" t="s">
        <v>234</v>
      </c>
      <c r="B19" s="474">
        <v>44394</v>
      </c>
      <c r="C19" s="474">
        <v>37179</v>
      </c>
      <c r="D19" s="474"/>
      <c r="E19" s="474"/>
      <c r="F19" s="474"/>
      <c r="G19" s="474"/>
      <c r="H19" s="474"/>
      <c r="I19" s="474"/>
      <c r="J19" s="474"/>
      <c r="K19" s="474"/>
    </row>
    <row r="20" spans="1:11" ht="22.2" customHeight="1">
      <c r="A20" s="265" t="s">
        <v>235</v>
      </c>
      <c r="B20" s="474">
        <v>46846</v>
      </c>
      <c r="C20" s="474">
        <v>41426</v>
      </c>
      <c r="D20" s="474"/>
      <c r="E20" s="474"/>
      <c r="F20" s="474"/>
      <c r="G20" s="474"/>
      <c r="H20" s="474"/>
      <c r="I20" s="474"/>
      <c r="J20" s="474"/>
      <c r="K20" s="474"/>
    </row>
    <row r="21" spans="1:11" ht="22.2" customHeight="1">
      <c r="A21" s="265" t="s">
        <v>236</v>
      </c>
      <c r="B21" s="474">
        <v>50680</v>
      </c>
      <c r="C21" s="474">
        <v>47255</v>
      </c>
      <c r="D21" s="474"/>
      <c r="E21" s="474"/>
      <c r="F21" s="474"/>
      <c r="G21" s="474"/>
      <c r="H21" s="474"/>
      <c r="I21" s="474"/>
      <c r="J21" s="474"/>
      <c r="K21" s="474"/>
    </row>
    <row r="22" spans="1:11" ht="22.2" customHeight="1">
      <c r="A22" s="265" t="s">
        <v>237</v>
      </c>
      <c r="B22" s="474">
        <v>51214</v>
      </c>
      <c r="C22" s="474">
        <v>52414</v>
      </c>
      <c r="D22" s="474"/>
      <c r="E22" s="474"/>
      <c r="F22" s="474"/>
      <c r="G22" s="474"/>
      <c r="H22" s="474"/>
      <c r="I22" s="474"/>
      <c r="J22" s="474"/>
      <c r="K22" s="474"/>
    </row>
    <row r="23" spans="1:11" ht="22.2" customHeight="1">
      <c r="A23" s="266" t="s">
        <v>238</v>
      </c>
      <c r="B23" s="475">
        <v>54401</v>
      </c>
      <c r="C23" s="475">
        <v>55592</v>
      </c>
      <c r="D23" s="475"/>
      <c r="E23" s="475"/>
      <c r="F23" s="475"/>
      <c r="G23" s="475"/>
      <c r="H23" s="475"/>
      <c r="I23" s="475"/>
      <c r="J23" s="475"/>
      <c r="K23" s="475"/>
    </row>
    <row r="24" spans="1:11" ht="45" customHeight="1">
      <c r="A24" s="283" t="s">
        <v>164</v>
      </c>
      <c r="B24" s="476">
        <f t="shared" ref="B24:K24" si="4">SUM(B12:B23)</f>
        <v>627411</v>
      </c>
      <c r="C24" s="476">
        <f t="shared" si="4"/>
        <v>572529</v>
      </c>
      <c r="D24" s="476">
        <f t="shared" si="4"/>
        <v>0</v>
      </c>
      <c r="E24" s="476">
        <f t="shared" si="4"/>
        <v>0</v>
      </c>
      <c r="F24" s="476">
        <f t="shared" si="4"/>
        <v>0</v>
      </c>
      <c r="G24" s="476">
        <f t="shared" si="4"/>
        <v>0</v>
      </c>
      <c r="H24" s="476">
        <f t="shared" si="4"/>
        <v>0</v>
      </c>
      <c r="I24" s="476">
        <f t="shared" si="4"/>
        <v>0</v>
      </c>
      <c r="J24" s="476">
        <f t="shared" si="4"/>
        <v>0</v>
      </c>
      <c r="K24" s="476">
        <f t="shared" si="4"/>
        <v>0</v>
      </c>
    </row>
    <row r="25" spans="1:11" ht="45" customHeight="1">
      <c r="A25" s="269"/>
      <c r="B25" s="286"/>
      <c r="C25" s="286"/>
      <c r="D25" s="286"/>
      <c r="E25" s="286"/>
      <c r="F25" s="286"/>
      <c r="G25" s="286"/>
      <c r="H25" s="286"/>
      <c r="I25" s="286"/>
      <c r="J25" s="286"/>
      <c r="K25" s="286"/>
    </row>
    <row r="26" spans="1:11" ht="45" customHeight="1">
      <c r="A26" s="682" t="s">
        <v>249</v>
      </c>
      <c r="B26" s="526"/>
      <c r="C26" s="526"/>
      <c r="D26" s="526"/>
      <c r="E26" s="526"/>
      <c r="F26" s="526"/>
      <c r="G26" s="526"/>
      <c r="H26" s="526"/>
      <c r="I26" s="526"/>
      <c r="J26" s="526"/>
      <c r="K26" s="526"/>
    </row>
    <row r="27" spans="1:11" ht="45" customHeight="1">
      <c r="A27" s="270" t="s">
        <v>241</v>
      </c>
      <c r="B27" s="271">
        <v>2016</v>
      </c>
      <c r="C27" s="271">
        <v>2017</v>
      </c>
      <c r="D27" s="271">
        <v>2018</v>
      </c>
      <c r="E27" s="271">
        <v>2019</v>
      </c>
      <c r="F27" s="271">
        <v>2020</v>
      </c>
      <c r="G27" s="271">
        <v>2021</v>
      </c>
      <c r="H27" s="271">
        <v>2022</v>
      </c>
      <c r="I27" s="271">
        <v>2023</v>
      </c>
      <c r="J27" s="271">
        <v>2024</v>
      </c>
      <c r="K27" s="271">
        <v>2025</v>
      </c>
    </row>
    <row r="28" spans="1:11" ht="51.6" customHeight="1">
      <c r="A28" s="272" t="s">
        <v>242</v>
      </c>
      <c r="B28" s="472"/>
      <c r="C28" s="472">
        <v>165393</v>
      </c>
      <c r="D28" s="472"/>
      <c r="E28" s="472"/>
      <c r="F28" s="472"/>
      <c r="G28" s="472"/>
      <c r="H28" s="472"/>
      <c r="I28" s="472"/>
      <c r="J28" s="472"/>
      <c r="K28" s="472"/>
    </row>
    <row r="29" spans="1:11" ht="45" customHeight="1">
      <c r="A29" s="272" t="s">
        <v>243</v>
      </c>
      <c r="B29" s="472"/>
      <c r="C29" s="472">
        <v>7728</v>
      </c>
      <c r="D29" s="472"/>
      <c r="E29" s="472"/>
      <c r="F29" s="472"/>
      <c r="G29" s="472"/>
      <c r="H29" s="472"/>
      <c r="I29" s="472"/>
      <c r="J29" s="472"/>
      <c r="K29" s="472"/>
    </row>
    <row r="30" spans="1:11" ht="65.7" customHeight="1">
      <c r="A30" s="272" t="s">
        <v>244</v>
      </c>
      <c r="B30" s="268">
        <f>B28/'Infos ISTerre'!$B$7*'Infos ISTerre'!$B$8</f>
        <v>0</v>
      </c>
      <c r="C30" s="268">
        <f>C28/'Infos ISTerre'!$B$7*'Infos ISTerre'!$B$8</f>
        <v>29240.039719626169</v>
      </c>
      <c r="D30" s="268">
        <f>D28/'Infos ISTerre'!$B$7*'Infos ISTerre'!$B$8</f>
        <v>0</v>
      </c>
      <c r="E30" s="268">
        <f>E28/'Infos ISTerre'!$B$7*'Infos ISTerre'!$B$8</f>
        <v>0</v>
      </c>
      <c r="F30" s="268">
        <f>F28/'Infos ISTerre'!$B$7*'Infos ISTerre'!$B$8</f>
        <v>0</v>
      </c>
      <c r="G30" s="268">
        <f>G28/'Infos ISTerre'!$B$7*'Infos ISTerre'!$B$8</f>
        <v>0</v>
      </c>
      <c r="H30" s="268">
        <f>H28/'Infos ISTerre'!$B$7*'Infos ISTerre'!$B$8</f>
        <v>0</v>
      </c>
      <c r="I30" s="268">
        <f>I28/'Infos ISTerre'!$B$7*'Infos ISTerre'!$B$8</f>
        <v>0</v>
      </c>
      <c r="J30" s="268">
        <f>J28/'Infos ISTerre'!$B$7*'Infos ISTerre'!$B$8</f>
        <v>0</v>
      </c>
      <c r="K30" s="268">
        <f>K28/'Infos ISTerre'!$B$7*'Infos ISTerre'!$B$8</f>
        <v>0</v>
      </c>
    </row>
    <row r="31" spans="1:11" ht="51.6" customHeight="1">
      <c r="A31" s="272" t="s">
        <v>245</v>
      </c>
      <c r="B31" s="268">
        <f>B29/'Infos ISTerre'!$C$7*'Infos ISTerre'!$C$8</f>
        <v>0</v>
      </c>
      <c r="C31" s="268">
        <f>C29/'Infos ISTerre'!$C$7*'Infos ISTerre'!$C$8</f>
        <v>956.8</v>
      </c>
      <c r="D31" s="268">
        <f>D29/'Infos ISTerre'!$C$7*'Infos ISTerre'!$C$8</f>
        <v>0</v>
      </c>
      <c r="E31" s="268">
        <f>E29/'Infos ISTerre'!$C$7*'Infos ISTerre'!$C$8</f>
        <v>0</v>
      </c>
      <c r="F31" s="268">
        <f>F29/'Infos ISTerre'!$C$7*'Infos ISTerre'!$C$8</f>
        <v>0</v>
      </c>
      <c r="G31" s="268">
        <f>G29/'Infos ISTerre'!$C$7*'Infos ISTerre'!$C$8</f>
        <v>0</v>
      </c>
      <c r="H31" s="268">
        <f>H29/'Infos ISTerre'!$C$7*'Infos ISTerre'!$C$8</f>
        <v>0</v>
      </c>
      <c r="I31" s="268">
        <f>I29/'Infos ISTerre'!$C$7*'Infos ISTerre'!$C$8</f>
        <v>0</v>
      </c>
      <c r="J31" s="268">
        <f>J29/'Infos ISTerre'!$C$7*'Infos ISTerre'!$C$8</f>
        <v>0</v>
      </c>
      <c r="K31" s="268">
        <f>K29/'Infos ISTerre'!$C$7*'Infos ISTerre'!$C$8</f>
        <v>0</v>
      </c>
    </row>
    <row r="32" spans="1:11" ht="45" customHeight="1">
      <c r="A32" s="269"/>
      <c r="B32" s="286"/>
      <c r="C32" s="286"/>
      <c r="D32" s="286"/>
      <c r="E32" s="286"/>
      <c r="F32" s="286"/>
      <c r="G32" s="286"/>
      <c r="H32" s="286"/>
      <c r="I32" s="286"/>
      <c r="J32" s="286"/>
      <c r="K32" s="286"/>
    </row>
    <row r="33" spans="1:11" ht="53.7" customHeight="1">
      <c r="A33" s="287" t="s">
        <v>250</v>
      </c>
      <c r="B33" s="60">
        <v>2016</v>
      </c>
      <c r="C33" s="61">
        <v>2017</v>
      </c>
      <c r="D33" s="61">
        <v>2018</v>
      </c>
      <c r="E33" s="61">
        <v>2019</v>
      </c>
      <c r="F33" s="61">
        <v>2020</v>
      </c>
      <c r="G33" s="61">
        <v>2021</v>
      </c>
      <c r="H33" s="61">
        <v>2022</v>
      </c>
      <c r="I33" s="61">
        <v>2023</v>
      </c>
      <c r="J33" s="61">
        <v>2024</v>
      </c>
      <c r="K33" s="62">
        <v>2025</v>
      </c>
    </row>
    <row r="34" spans="1:11" ht="19.649999999999999" customHeight="1">
      <c r="A34" s="288" t="s">
        <v>251</v>
      </c>
      <c r="B34" s="477">
        <v>10</v>
      </c>
      <c r="C34" s="478">
        <v>10</v>
      </c>
      <c r="D34" s="478">
        <v>10</v>
      </c>
      <c r="E34" s="478">
        <v>10</v>
      </c>
      <c r="F34" s="479"/>
      <c r="G34" s="479"/>
      <c r="H34" s="479"/>
      <c r="I34" s="479"/>
      <c r="J34" s="479"/>
      <c r="K34" s="480"/>
    </row>
    <row r="35" spans="1:11" ht="84.9" customHeight="1">
      <c r="A35" s="289" t="s">
        <v>252</v>
      </c>
      <c r="B35" s="481">
        <v>45</v>
      </c>
      <c r="C35" s="482">
        <v>45</v>
      </c>
      <c r="D35" s="482">
        <v>45</v>
      </c>
      <c r="E35" s="482">
        <v>45</v>
      </c>
      <c r="F35" s="483"/>
      <c r="G35" s="483"/>
      <c r="H35" s="483"/>
      <c r="I35" s="483"/>
      <c r="J35" s="483"/>
      <c r="K35" s="484"/>
    </row>
    <row r="36" spans="1:11" ht="52.65" customHeight="1">
      <c r="A36" s="290" t="s">
        <v>253</v>
      </c>
      <c r="B36" s="485">
        <f t="shared" ref="B36:K36" si="5">B34*24*365*B35/1000</f>
        <v>3942</v>
      </c>
      <c r="C36" s="486">
        <f t="shared" si="5"/>
        <v>3942</v>
      </c>
      <c r="D36" s="486">
        <f t="shared" si="5"/>
        <v>3942</v>
      </c>
      <c r="E36" s="486">
        <f t="shared" si="5"/>
        <v>3942</v>
      </c>
      <c r="F36" s="486">
        <f t="shared" si="5"/>
        <v>0</v>
      </c>
      <c r="G36" s="486">
        <f t="shared" si="5"/>
        <v>0</v>
      </c>
      <c r="H36" s="486">
        <f t="shared" si="5"/>
        <v>0</v>
      </c>
      <c r="I36" s="486">
        <f t="shared" si="5"/>
        <v>0</v>
      </c>
      <c r="J36" s="486">
        <f t="shared" si="5"/>
        <v>0</v>
      </c>
      <c r="K36" s="487">
        <f t="shared" si="5"/>
        <v>0</v>
      </c>
    </row>
  </sheetData>
  <sheetProtection algorithmName="SHA-512" hashValue="7xi9LFDWkZVLmbJZrYHDEcl3IoYNo9Uh6xrkROhlQAJBZPdwhKZ6VZbXn04QFQdwBMtgoVzkTnIv9bWOOphKZQ==" saltValue="u2yCxFDxBd8Ssbx5J2u15w==" spinCount="100000" sheet="1" objects="1" scenarios="1"/>
  <mergeCells count="3">
    <mergeCell ref="A1:K1"/>
    <mergeCell ref="A26:K26"/>
    <mergeCell ref="A10:K10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Guide d'utilisation</vt:lpstr>
      <vt:lpstr>Bilan GES ISTerre</vt:lpstr>
      <vt:lpstr>Synthèse consos annuelles</vt:lpstr>
      <vt:lpstr>Facteurs d'émissions</vt:lpstr>
      <vt:lpstr>Infos ISTerre</vt:lpstr>
      <vt:lpstr>Graphiques</vt:lpstr>
      <vt:lpstr>Ratios</vt:lpstr>
      <vt:lpstr>Consommation Gaz</vt:lpstr>
      <vt:lpstr>Consommation Électricité</vt:lpstr>
      <vt:lpstr>Serveurs informatiques</vt:lpstr>
      <vt:lpstr>Synchrotrons</vt:lpstr>
      <vt:lpstr>Déplacements domicile-travail</vt:lpstr>
      <vt:lpstr>Déplacements professionnels</vt:lpstr>
      <vt:lpstr>Incertitudes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sarretg</dc:creator>
  <cp:keywords/>
  <dc:description/>
  <cp:lastModifiedBy>sarretg</cp:lastModifiedBy>
  <cp:revision/>
  <dcterms:created xsi:type="dcterms:W3CDTF">2019-08-12T09:01:43Z</dcterms:created>
  <dcterms:modified xsi:type="dcterms:W3CDTF">2019-09-17T15:21:52Z</dcterms:modified>
  <cp:category/>
  <cp:contentStatus/>
</cp:coreProperties>
</file>